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showInkAnnotation="0"/>
  <mc:AlternateContent xmlns:mc="http://schemas.openxmlformats.org/markup-compatibility/2006">
    <mc:Choice Requires="x15">
      <x15ac:absPath xmlns:x15ac="http://schemas.microsoft.com/office/spreadsheetml/2010/11/ac" url="C:\Users\uwewe\Downloads\"/>
    </mc:Choice>
  </mc:AlternateContent>
  <xr:revisionPtr revIDLastSave="0" documentId="8_{F49106A7-E767-440C-A4EC-CE1FFF5571C6}" xr6:coauthVersionLast="28" xr6:coauthVersionMax="28" xr10:uidLastSave="{00000000-0000-0000-0000-000000000000}"/>
  <bookViews>
    <workbookView xWindow="240" yWindow="120" windowWidth="18780" windowHeight="12660" tabRatio="834" xr2:uid="{00000000-000D-0000-FFFF-FFFF00000000}"/>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Hauptberechnung!$B$4:$X$130</definedName>
    <definedName name="_xlnm.Print_Area" localSheetId="4">'INFO - Düsseldorfer Tabelle'!$B$2:$G$27</definedName>
    <definedName name="_xlnm.Print_Area" localSheetId="3">'INFO - Kostenbeitragstabelle'!$B$2:$G$39</definedName>
    <definedName name="_xlnm.Print_Area" localSheetId="2">Schmälerungsverbot!$B$2:$X$167</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Schmälerungsverbot!$E$89</definedName>
    <definedName name="GebDatW10" localSheetId="2">Schmälerungsverbot!$E$98</definedName>
    <definedName name="GebDatW2" localSheetId="2">Schmälerungsverbot!$E$90</definedName>
    <definedName name="GebDatW3" localSheetId="2">Schmälerungsverbot!$E$91</definedName>
    <definedName name="GebDatW4" localSheetId="2">Schmälerungsverbot!$E$92</definedName>
    <definedName name="GebDatW5" localSheetId="2">Schmälerungsverbot!$E$93</definedName>
    <definedName name="GebDatW6" localSheetId="2">Schmälerungsverbot!$E$94</definedName>
    <definedName name="GebDatW7" localSheetId="2">Schmälerungsverbot!$E$95</definedName>
    <definedName name="GebDatW8" localSheetId="2">Schmälerungsverbot!$E$96</definedName>
    <definedName name="GebDatW9" localSheetId="2">Schmälerungsverbot!$E$97</definedName>
    <definedName name="KBZeitraumBis">Hauptberechnung!#REF!</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DTParameter!$D$43</definedName>
    <definedName name="KGKind2">DTParameter!$D$44</definedName>
    <definedName name="KGKind3">DTParameter!$D$45</definedName>
    <definedName name="KGKind4">DTParameter!$D$46</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Dropdownfelder!$A$34:$B$37</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71027"/>
</workbook>
</file>

<file path=xl/calcChain.xml><?xml version="1.0" encoding="utf-8"?>
<calcChain xmlns="http://schemas.openxmlformats.org/spreadsheetml/2006/main">
  <c r="G1" i="12" l="1"/>
  <c r="J98" i="6" l="1"/>
  <c r="J97" i="6"/>
  <c r="J96" i="6"/>
  <c r="J95" i="6"/>
  <c r="J94" i="6"/>
  <c r="J93" i="6"/>
  <c r="J92" i="6"/>
  <c r="J91" i="6"/>
  <c r="J90" i="6"/>
  <c r="J89" i="6"/>
  <c r="I98" i="6"/>
  <c r="I97" i="6"/>
  <c r="I96" i="6"/>
  <c r="I95" i="6"/>
  <c r="I94" i="6"/>
  <c r="I93" i="6"/>
  <c r="I92" i="6"/>
  <c r="I91" i="6"/>
  <c r="I90" i="6"/>
  <c r="I89" i="6"/>
  <c r="C49" i="2"/>
  <c r="B49" i="2"/>
  <c r="C48" i="2"/>
  <c r="B48" i="2"/>
  <c r="C47" i="2"/>
  <c r="B47" i="2"/>
  <c r="C46" i="2"/>
  <c r="B46" i="2"/>
  <c r="C45" i="2"/>
  <c r="B45" i="2"/>
  <c r="C44" i="2"/>
  <c r="B44" i="2"/>
  <c r="C43" i="2"/>
  <c r="B43" i="2"/>
  <c r="C42" i="2"/>
  <c r="B42" i="2"/>
  <c r="J152" i="6"/>
  <c r="I152" i="6"/>
  <c r="J151" i="6"/>
  <c r="I151" i="6"/>
  <c r="J150" i="6"/>
  <c r="I150" i="6"/>
  <c r="J149" i="6"/>
  <c r="I149" i="6"/>
  <c r="B133" i="2"/>
  <c r="B132" i="2"/>
  <c r="B131" i="2"/>
  <c r="B130" i="2"/>
  <c r="B129" i="2"/>
  <c r="B128" i="2"/>
  <c r="B127" i="2"/>
  <c r="B126" i="2"/>
  <c r="B121" i="2"/>
  <c r="B120" i="2"/>
  <c r="B119" i="2"/>
  <c r="B118" i="2"/>
  <c r="B117" i="2"/>
  <c r="B116" i="2"/>
  <c r="B115" i="2"/>
  <c r="B114" i="2"/>
  <c r="B109" i="2"/>
  <c r="B108" i="2"/>
  <c r="B107" i="2"/>
  <c r="B106" i="2"/>
  <c r="B105" i="2"/>
  <c r="B104" i="2"/>
  <c r="B103" i="2"/>
  <c r="B102" i="2"/>
  <c r="C121" i="2"/>
  <c r="C120" i="2"/>
  <c r="C119" i="2"/>
  <c r="C118" i="2"/>
  <c r="C117" i="2"/>
  <c r="C116" i="2"/>
  <c r="C115" i="2"/>
  <c r="C114" i="2"/>
  <c r="C109" i="2"/>
  <c r="C108" i="2"/>
  <c r="C107" i="2"/>
  <c r="C106" i="2"/>
  <c r="C105" i="2"/>
  <c r="C104" i="2"/>
  <c r="C103" i="2"/>
  <c r="C102" i="2"/>
  <c r="C97" i="2"/>
  <c r="C96" i="2"/>
  <c r="C95" i="2"/>
  <c r="C94" i="2"/>
  <c r="C93" i="2"/>
  <c r="C92" i="2"/>
  <c r="C91" i="2"/>
  <c r="C90" i="2"/>
  <c r="B97" i="2"/>
  <c r="B96" i="2"/>
  <c r="B95" i="2"/>
  <c r="B94" i="2"/>
  <c r="B93" i="2"/>
  <c r="B92" i="2"/>
  <c r="B91" i="2"/>
  <c r="B90" i="2"/>
  <c r="C133" i="2"/>
  <c r="C132" i="2"/>
  <c r="C131" i="2"/>
  <c r="C130" i="2"/>
  <c r="C129" i="2"/>
  <c r="C128" i="2"/>
  <c r="C127" i="2"/>
  <c r="C126" i="2"/>
  <c r="C33" i="5" l="1"/>
  <c r="U102" i="6" l="1"/>
  <c r="B121" i="1" l="1"/>
  <c r="B120" i="1"/>
  <c r="U114" i="1" l="1"/>
  <c r="V105" i="1"/>
  <c r="N82" i="6" l="1"/>
  <c r="C24" i="7"/>
  <c r="B78" i="6" l="1"/>
  <c r="L109" i="1" l="1"/>
  <c r="B109" i="1"/>
  <c r="Z102" i="6" l="1"/>
  <c r="B2" i="12" l="1"/>
  <c r="B2" i="11"/>
  <c r="B2" i="6"/>
  <c r="B2" i="8"/>
  <c r="B2" i="1"/>
  <c r="E7" i="8"/>
  <c r="K20" i="1"/>
  <c r="E5" i="2"/>
  <c r="D5" i="2"/>
  <c r="E4" i="2"/>
  <c r="D4" i="2"/>
  <c r="C5" i="2"/>
  <c r="C4" i="2"/>
  <c r="O13" i="1"/>
  <c r="O17" i="1"/>
  <c r="B18" i="1" l="1"/>
  <c r="P132" i="6"/>
  <c r="P133" i="6"/>
  <c r="P134" i="6"/>
  <c r="P136" i="6" s="1"/>
  <c r="U138" i="6" s="1"/>
  <c r="P113" i="6"/>
  <c r="P114" i="6"/>
  <c r="P115" i="6"/>
  <c r="U9" i="6"/>
  <c r="P32" i="6" s="1"/>
  <c r="K27" i="6"/>
  <c r="K29" i="6" s="1"/>
  <c r="U27" i="6"/>
  <c r="K30" i="6" s="1"/>
  <c r="L43" i="6"/>
  <c r="L44" i="6"/>
  <c r="D24" i="7"/>
  <c r="E24" i="7" s="1"/>
  <c r="G89" i="6" s="1"/>
  <c r="C20" i="7"/>
  <c r="F21" i="7" s="1"/>
  <c r="C25" i="7"/>
  <c r="D25" i="7" s="1"/>
  <c r="E25" i="7" s="1"/>
  <c r="G90" i="6" s="1"/>
  <c r="P90" i="6" s="1"/>
  <c r="P91" i="6"/>
  <c r="P92" i="6"/>
  <c r="P93" i="6"/>
  <c r="P94" i="6"/>
  <c r="P95" i="6"/>
  <c r="P96" i="6"/>
  <c r="P97" i="6"/>
  <c r="P98" i="6"/>
  <c r="C50" i="7"/>
  <c r="D50" i="7" s="1"/>
  <c r="E50" i="7" s="1"/>
  <c r="G149" i="6"/>
  <c r="P149" i="6" s="1"/>
  <c r="C51" i="7"/>
  <c r="D51" i="7" s="1"/>
  <c r="E51" i="7" s="1"/>
  <c r="G150" i="6"/>
  <c r="P150" i="6" s="1"/>
  <c r="C52" i="7"/>
  <c r="D52" i="7" s="1"/>
  <c r="E52" i="7" s="1"/>
  <c r="G151" i="6"/>
  <c r="P151" i="6" s="1"/>
  <c r="C53" i="7"/>
  <c r="D53" i="7" s="1"/>
  <c r="E53" i="7" s="1"/>
  <c r="G152" i="6"/>
  <c r="P152" i="6" s="1"/>
  <c r="C45" i="5"/>
  <c r="U41" i="1"/>
  <c r="K44" i="1" s="1"/>
  <c r="U50" i="1"/>
  <c r="U51" i="1"/>
  <c r="M80" i="1"/>
  <c r="M89" i="1" s="1"/>
  <c r="G147" i="6"/>
  <c r="F134" i="6"/>
  <c r="F133" i="6"/>
  <c r="F132" i="6"/>
  <c r="B77" i="2"/>
  <c r="B83" i="2" s="1"/>
  <c r="B78" i="2"/>
  <c r="B84" i="2" s="1"/>
  <c r="B79" i="2"/>
  <c r="B85" i="2" s="1"/>
  <c r="B76" i="2"/>
  <c r="B82" i="2" s="1"/>
  <c r="D7" i="8"/>
  <c r="J1" i="8"/>
  <c r="G1" i="8"/>
  <c r="D105" i="1"/>
  <c r="B21" i="1"/>
  <c r="C6" i="2"/>
  <c r="K21" i="1"/>
  <c r="O21" i="1"/>
  <c r="C17" i="12"/>
  <c r="C18" i="12" s="1"/>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D17" i="12"/>
  <c r="E17" i="12"/>
  <c r="F17" i="12"/>
  <c r="G17" i="12"/>
  <c r="G8" i="12"/>
  <c r="F8" i="12"/>
  <c r="E8" i="12"/>
  <c r="D8" i="12"/>
  <c r="C8" i="12"/>
  <c r="B8"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B27" i="8"/>
  <c r="B20" i="8"/>
  <c r="B11" i="8"/>
  <c r="D72" i="8"/>
  <c r="D74" i="8" s="1"/>
  <c r="G76" i="8" s="1"/>
  <c r="U58" i="6" s="1"/>
  <c r="L21" i="8"/>
  <c r="L12" i="8"/>
  <c r="B9" i="8"/>
  <c r="E8" i="8"/>
  <c r="B36" i="8"/>
  <c r="G36" i="8"/>
  <c r="B46" i="8" s="1"/>
  <c r="B38" i="8"/>
  <c r="D44" i="8"/>
  <c r="B62" i="8"/>
  <c r="G69" i="8"/>
  <c r="D71" i="8" s="1"/>
  <c r="C26" i="7"/>
  <c r="D26" i="7" s="1"/>
  <c r="E26" i="7" s="1"/>
  <c r="G91" i="6"/>
  <c r="C27" i="7"/>
  <c r="D27" i="7" s="1"/>
  <c r="E27" i="7" s="1"/>
  <c r="G92" i="6"/>
  <c r="C28" i="7"/>
  <c r="D28" i="7" s="1"/>
  <c r="E28" i="7" s="1"/>
  <c r="G93" i="6"/>
  <c r="C29" i="7"/>
  <c r="D29" i="7" s="1"/>
  <c r="E29" i="7" s="1"/>
  <c r="G94" i="6"/>
  <c r="C30" i="7"/>
  <c r="D30" i="7" s="1"/>
  <c r="E30" i="7" s="1"/>
  <c r="G95" i="6"/>
  <c r="C31" i="7"/>
  <c r="D31" i="7" s="1"/>
  <c r="E31" i="7" s="1"/>
  <c r="G96" i="6"/>
  <c r="C32" i="7"/>
  <c r="D32" i="7" s="1"/>
  <c r="E32" i="7" s="1"/>
  <c r="G97" i="6"/>
  <c r="C33" i="7"/>
  <c r="D33" i="7" s="1"/>
  <c r="E33" i="7" s="1"/>
  <c r="G98" i="6"/>
  <c r="J77" i="6"/>
  <c r="Z41" i="6"/>
  <c r="G87" i="6"/>
  <c r="V9" i="6"/>
  <c r="Q32" i="6" s="1"/>
  <c r="J9" i="6"/>
  <c r="J42" i="6"/>
  <c r="V1" i="6"/>
  <c r="R1" i="6"/>
  <c r="B37" i="6"/>
  <c r="C19" i="7"/>
  <c r="R101" i="1"/>
  <c r="B113" i="1"/>
  <c r="G101" i="1"/>
  <c r="C29" i="2"/>
  <c r="K51" i="1"/>
  <c r="K50" i="1"/>
  <c r="K19" i="1"/>
  <c r="D46" i="8" l="1"/>
  <c r="B47" i="8" s="1"/>
  <c r="P117" i="6"/>
  <c r="U119" i="6" s="1"/>
  <c r="U136" i="6"/>
  <c r="C21" i="7"/>
  <c r="K32" i="6"/>
  <c r="U32" i="6" s="1"/>
  <c r="L48" i="6"/>
  <c r="P48" i="6" s="1"/>
  <c r="I42" i="6"/>
  <c r="B43" i="6" s="1"/>
  <c r="K46" i="1"/>
  <c r="U21" i="1"/>
  <c r="P154" i="6"/>
  <c r="L119" i="6"/>
  <c r="U117" i="6"/>
  <c r="E21" i="7"/>
  <c r="D47" i="8"/>
  <c r="G47" i="8" s="1"/>
  <c r="G49" i="8" s="1"/>
  <c r="D51" i="8" s="1"/>
  <c r="D54" i="8" s="1"/>
  <c r="G56" i="8" s="1"/>
  <c r="U95" i="1" s="1"/>
  <c r="D21" i="7"/>
  <c r="L138" i="6" l="1"/>
  <c r="L156" i="6"/>
  <c r="U154" i="6"/>
  <c r="U156" i="6"/>
  <c r="B44" i="6"/>
  <c r="H37" i="6"/>
  <c r="P37" i="6" s="1"/>
  <c r="U50" i="6" s="1"/>
  <c r="U60" i="6" s="1"/>
  <c r="U62" i="6" s="1"/>
  <c r="U73" i="6" s="1"/>
  <c r="U46" i="1"/>
  <c r="C13" i="2" s="1"/>
  <c r="Q46" i="1"/>
  <c r="B80" i="1"/>
  <c r="V21" i="1"/>
  <c r="P46" i="1"/>
  <c r="M79" i="1"/>
  <c r="U163" i="6" l="1"/>
  <c r="U166" i="6"/>
  <c r="P89" i="6"/>
  <c r="P100" i="6" s="1"/>
  <c r="U100" i="6" s="1"/>
  <c r="U104" i="6" s="1"/>
  <c r="U121" i="6" s="1"/>
  <c r="C17" i="7"/>
  <c r="B50" i="6"/>
  <c r="B21" i="2"/>
  <c r="C21" i="2"/>
  <c r="B13" i="2"/>
  <c r="U58" i="1"/>
  <c r="U69" i="1" s="1"/>
  <c r="U60" i="1" l="1"/>
  <c r="M75" i="1"/>
  <c r="H75" i="1"/>
  <c r="U140" i="6"/>
  <c r="U158" i="6" s="1"/>
  <c r="U164" i="6" s="1"/>
  <c r="U124" i="6"/>
  <c r="I2" i="7"/>
  <c r="I5" i="7"/>
  <c r="I11" i="7"/>
  <c r="I8" i="7"/>
  <c r="I7" i="7"/>
  <c r="I6" i="7"/>
  <c r="I9" i="7"/>
  <c r="I10" i="7"/>
  <c r="I12" i="7"/>
  <c r="I4" i="7"/>
  <c r="I3" i="7"/>
  <c r="C18" i="7" l="1"/>
  <c r="B91" i="1"/>
  <c r="U91" i="1"/>
  <c r="U97" i="1" l="1"/>
  <c r="C31" i="5" s="1"/>
  <c r="N79" i="6"/>
  <c r="D18" i="7"/>
  <c r="O79" i="6" s="1"/>
  <c r="H18" i="5" l="1"/>
  <c r="H12" i="5"/>
  <c r="H15" i="5"/>
  <c r="H14" i="5"/>
  <c r="H25" i="5"/>
  <c r="D29" i="5"/>
  <c r="H9" i="5"/>
  <c r="H17" i="5"/>
  <c r="H7" i="5"/>
  <c r="H23" i="5"/>
  <c r="H4" i="5"/>
  <c r="H6" i="5"/>
  <c r="H28" i="5"/>
  <c r="H20" i="5"/>
  <c r="H24" i="5"/>
  <c r="H3" i="5"/>
  <c r="H16" i="5"/>
  <c r="H8" i="5"/>
  <c r="H21" i="5"/>
  <c r="H29" i="5"/>
  <c r="H5" i="5"/>
  <c r="H13" i="5"/>
  <c r="H2" i="5"/>
  <c r="H11" i="5"/>
  <c r="C29" i="5"/>
  <c r="H27" i="5"/>
  <c r="F29" i="5"/>
  <c r="H19" i="5"/>
  <c r="H10" i="5"/>
  <c r="H22" i="5"/>
  <c r="E29" i="5"/>
  <c r="H26" i="5"/>
  <c r="C32" i="5" l="1"/>
  <c r="F32" i="5"/>
  <c r="K103" i="1"/>
  <c r="C34" i="5" l="1"/>
  <c r="C35" i="5" s="1"/>
  <c r="C36" i="5" s="1"/>
  <c r="C37" i="5" s="1"/>
  <c r="C38" i="5" s="1"/>
  <c r="C39" i="5" s="1"/>
  <c r="C40" i="5" s="1"/>
  <c r="C41" i="5" s="1"/>
  <c r="C42" i="5" s="1"/>
  <c r="D44" i="5"/>
  <c r="D32" i="5"/>
  <c r="Q103" i="1" s="1"/>
  <c r="B114" i="1"/>
  <c r="C44" i="5" l="1"/>
  <c r="O107" i="1" s="1"/>
  <c r="P107" i="1" l="1"/>
  <c r="C47" i="5"/>
  <c r="U109" i="1" s="1"/>
  <c r="E47" i="5"/>
  <c r="F47" i="5"/>
  <c r="D47" i="5"/>
  <c r="B107" i="1"/>
  <c r="U116" i="1" l="1"/>
  <c r="U121" i="1" s="1"/>
  <c r="U123" i="1" s="1"/>
  <c r="U125" i="1" s="1"/>
</calcChain>
</file>

<file path=xl/sharedStrings.xml><?xml version="1.0" encoding="utf-8"?>
<sst xmlns="http://schemas.openxmlformats.org/spreadsheetml/2006/main" count="742" uniqueCount="421">
  <si>
    <t>Selbstbehalt gg. Berechtigten 2. Rang</t>
  </si>
  <si>
    <t>Unterhalt weiterer Berechtiger 4. Rang 1</t>
  </si>
  <si>
    <t>Unterhalt weiterer Berechtiger 4. Rang 2</t>
  </si>
  <si>
    <t>Unterhalt weiterer Berechtiger 4. Rang 3</t>
  </si>
  <si>
    <t>Unterhalt weiterer Berechtiger 4. Rang 4</t>
  </si>
  <si>
    <t>Unterhaltsbedarf vorrangig Berechtigter des 3. Ranges</t>
  </si>
  <si>
    <t>(Im Haushalt oder getrennt lebende sowie geschiedene Ehegatten)</t>
  </si>
  <si>
    <t>im HH lebende/r Ehe-/Lebenspartner/in</t>
  </si>
  <si>
    <t>getrennt lebende/r Ehepartner/in</t>
  </si>
  <si>
    <t>geschiedene/r Ehepartner/in</t>
  </si>
  <si>
    <t>Eigenschaft von Berechtigten 3. Ranges (1)</t>
  </si>
  <si>
    <t>Eigenschaft von Berechtigten 3. Ranges (2)</t>
  </si>
  <si>
    <t>Eigenschaft von Berechtigten 3. Ranges (3)</t>
  </si>
  <si>
    <t>Unterhaltsbedarf gleichrangig Berechtigter des 4. Ranges</t>
  </si>
  <si>
    <t>Kindergeldbezug weiterer Berechtigter des 4. Ranges (1)</t>
  </si>
  <si>
    <t>Kindergeldbezug weiterer Berechtigter des 4. Ranges (2)</t>
  </si>
  <si>
    <t>Kindergeldbezug weiterer Berechtigter des 4. Ranges (3)</t>
  </si>
  <si>
    <t>Kindergeldbezug weiterer Berechtigter des 4. Ranges (4)</t>
  </si>
  <si>
    <t>w.Kind</t>
  </si>
  <si>
    <t>1.Kind</t>
  </si>
  <si>
    <t>2.Kind</t>
  </si>
  <si>
    <t>3.Kind</t>
  </si>
  <si>
    <t>(weitere volljährige, nicht privilegierte Kinder, soweit nicht durch stationäre Unterbringung versorgt)</t>
  </si>
  <si>
    <t>Zusätzlicher Selbstbehalt ggü. Berechtigten 2. Ranges</t>
  </si>
  <si>
    <t>Gesamtbedarf der Berechtigten 4. Ranges</t>
  </si>
  <si>
    <t>Gesamtbedarf der Berechtigten 3. Ranges</t>
  </si>
  <si>
    <t>Zusätzlicher Selbstbehalt ggü. Berechtigten 3. Ranges</t>
  </si>
  <si>
    <t>Zusätzlicher Selbstbehalt ggü. Berechtigten 4. Ranges</t>
  </si>
  <si>
    <t xml:space="preserve">Vorläufiger Kostenbeitrag (s. Hauptberechnung) </t>
  </si>
  <si>
    <t>Verbleibendes Einkommen nach Sicherstellung des Unterhalts o.g. Berechtigter</t>
  </si>
  <si>
    <t>Um den vorstehend berechneten Unterhalt sicherzustellen, ist der Kostenbeitrag zu reduzieren um</t>
  </si>
  <si>
    <r>
      <t xml:space="preserve">Achtung: Unterhaltsbedarf für vorrangig Berechtigte des 1. Ranges darf nur eingetragen werden, wenn es solche Berechtigte mit Unterhaltsanspruch gibt. Vorrangig Berechtigte, die durch stationäre Unterbringung versorgt werden, sind hier </t>
    </r>
    <r>
      <rPr>
        <b/>
        <u/>
        <sz val="8"/>
        <color indexed="13"/>
        <rFont val="Arial"/>
        <family val="2"/>
      </rPr>
      <t>nicht</t>
    </r>
    <r>
      <rPr>
        <sz val="8"/>
        <color indexed="13"/>
        <rFont val="Arial"/>
        <family val="2"/>
      </rPr>
      <t xml:space="preserve"> einzutragen!</t>
    </r>
  </si>
  <si>
    <t>Sofern bereits ein Selbstbehalt gegenüber Berechtigten des 1. Ranges wirkt, wird hier nur noch aufgestockt auf den insgesamt maximal möglichen Selbstbehalt nach den Leitlinien OLG FFM.</t>
  </si>
  <si>
    <t>Sofern bereits ein Selbstbehalt gegenüber Berechtigten des 1. und/oder 2. Ranges wirkt, wird hier nur noch aufgestockt auf den insgesamt maximal möglichen Selbstbehalt nach den Leitlinien OLG FFM.</t>
  </si>
  <si>
    <t>Sofern bereits ein Selbstbehalt gegenüber Berechtigten des 1., 2. und/oder 3. Ranges wirkt, wird hier nur noch aufgestockt auf den insgesamt maximal möglichen Selbstbehalt nach den Leitlinien OLG FFM.</t>
  </si>
  <si>
    <r>
      <t xml:space="preserve">Tragen Sie die </t>
    </r>
    <r>
      <rPr>
        <b/>
        <u/>
        <sz val="8"/>
        <color indexed="9"/>
        <rFont val="Arial"/>
        <family val="2"/>
      </rPr>
      <t>Namen der Berechtigten und den maßgeblichen Unterhalt</t>
    </r>
    <r>
      <rPr>
        <sz val="8"/>
        <color indexed="9"/>
        <rFont val="Arial"/>
        <family val="2"/>
      </rPr>
      <t xml:space="preserve"> laut Titel ein, wenn Betreuungsunterhalt gezahlt wird. Eigene Einkünfte der Berechtigten sind abzusetzen.</t>
    </r>
  </si>
  <si>
    <r>
      <t xml:space="preserve">Tragen Sie die </t>
    </r>
    <r>
      <rPr>
        <b/>
        <u/>
        <sz val="8"/>
        <color indexed="9"/>
        <rFont val="Arial"/>
        <family val="2"/>
      </rPr>
      <t>Namen und den maßgeblichen Unterhalt</t>
    </r>
    <r>
      <rPr>
        <sz val="8"/>
        <color indexed="9"/>
        <rFont val="Arial"/>
        <family val="2"/>
      </rPr>
      <t xml:space="preserve"> laut Ziff. 22 ff  Leitlinien OLG FFM ein. Wählen Sie die </t>
    </r>
    <r>
      <rPr>
        <b/>
        <u/>
        <sz val="8"/>
        <color indexed="9"/>
        <rFont val="Arial"/>
        <family val="2"/>
      </rPr>
      <t>Eigenschaft des Berechtigten aus</t>
    </r>
    <r>
      <rPr>
        <sz val="8"/>
        <color indexed="9"/>
        <rFont val="Arial"/>
        <family val="2"/>
      </rPr>
      <t>, damit dessen Unterhaltsbedarf insgesamt auch berücksichtigt wird. Vergessen Sie nicht, etwaige eigene Einkünfte der Berechtigten einzutragen. Diese sind vom Unterhaltsanspruch abzusetzen.</t>
    </r>
  </si>
  <si>
    <r>
      <t xml:space="preserve">Achtung: Unterhaltsbedarf für gleichrangig Berechtigte des 4. Ranges darf nur eingetragen werden, wenn es solche Berechtigte mit Unterhaltsanspruch gibt. Gleichrangig Berechtigte, die durch stationäre Unterbringung versorgt werden, sind hier </t>
    </r>
    <r>
      <rPr>
        <b/>
        <u/>
        <sz val="8"/>
        <color indexed="13"/>
        <rFont val="Arial"/>
        <family val="2"/>
      </rPr>
      <t>nicht</t>
    </r>
    <r>
      <rPr>
        <sz val="8"/>
        <color indexed="13"/>
        <rFont val="Arial"/>
        <family val="2"/>
      </rPr>
      <t xml:space="preserve"> einzutragen!</t>
    </r>
  </si>
  <si>
    <r>
      <t xml:space="preserve">Sie müssen die Namen und </t>
    </r>
    <r>
      <rPr>
        <b/>
        <u/>
        <sz val="8"/>
        <color indexed="9"/>
        <rFont val="Arial"/>
        <family val="2"/>
      </rPr>
      <t>unbedingt das Geburtsdatum</t>
    </r>
    <r>
      <rPr>
        <sz val="8"/>
        <color indexed="9"/>
        <rFont val="Arial"/>
        <family val="2"/>
      </rPr>
      <t xml:space="preserve"> der (nicht privilegierten) volljährigen Geschwister des jungen Menschen eintragen, damit die korrekte Altersstufe und der Unterhalt nach Düsseldorfer Tabelle ermittelt wird.</t>
    </r>
  </si>
  <si>
    <t>Sofern Sie Unterhalt lt. Titel oder Kostenbeiträge (KB) oder einen Anspruch nach OLG-Leitlinien eingeben, übersteuert dieser den ermittelten Tabellenunterhalt und Kindergeldabzug. Hier ist auch der bereits berechnete Kostenbeitrag für untergebrachte nicht privilegierte volljährige Geschwisterkinder einzutragen. Eigene Einkünfte der Berechtigten sind abzusetzen.</t>
  </si>
  <si>
    <t>Tit. Unterhalt,</t>
  </si>
  <si>
    <t>Kosten-</t>
  </si>
  <si>
    <t>beitrag, etc.</t>
  </si>
  <si>
    <t>Um den hier ermittelten Reduzierungsbetrag wird der Kostenbeitrag in der Hauptberechnung vermindert.</t>
  </si>
  <si>
    <r>
      <t xml:space="preserve">Um korrekt zu rechnen, muss </t>
    </r>
    <r>
      <rPr>
        <b/>
        <u/>
        <sz val="8"/>
        <color indexed="9"/>
        <rFont val="Arial"/>
        <family val="2"/>
      </rPr>
      <t>unbedingt</t>
    </r>
    <r>
      <rPr>
        <sz val="8"/>
        <color indexed="9"/>
        <rFont val="Arial"/>
        <family val="2"/>
      </rPr>
      <t xml:space="preserve"> das Geburtsdatum des untergebrachten </t>
    </r>
    <r>
      <rPr>
        <b/>
        <u/>
        <sz val="8"/>
        <color indexed="9"/>
        <rFont val="Arial"/>
        <family val="2"/>
      </rPr>
      <t>volljährigen</t>
    </r>
    <r>
      <rPr>
        <sz val="8"/>
        <color indexed="9"/>
        <rFont val="Arial"/>
        <family val="2"/>
      </rPr>
      <t xml:space="preserve"> jungen Menschen eingetragen werden.</t>
    </r>
  </si>
  <si>
    <t>Hier beginnt Seite 3 des Ausdrucks.</t>
  </si>
  <si>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</si>
  <si>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</si>
  <si>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</si>
  <si>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</si>
  <si>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</si>
  <si>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</si>
  <si>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Hinweis aus der Kostenbeitragsverordnung</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</si>
  <si>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</si>
  <si>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</si>
  <si>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</si>
  <si>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</si>
  <si>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</si>
  <si>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</si>
  <si>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</si>
  <si>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</si>
  <si>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</si>
  <si>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</si>
  <si>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</si>
  <si>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</si>
  <si>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</si>
  <si>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</si>
  <si>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</si>
  <si>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</si>
  <si>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</si>
  <si>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</si>
  <si>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</si>
  <si>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</si>
  <si>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</si>
  <si>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</si>
  <si>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</si>
  <si>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</si>
  <si>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</si>
  <si>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</si>
  <si>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</si>
  <si>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</si>
  <si>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</si>
  <si>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</si>
  <si>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</si>
  <si>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</si>
  <si>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</si>
  <si>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man. Eingabe!</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</si>
  <si>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</si>
  <si>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</si>
  <si>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</si>
  <si>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</si>
  <si>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</si>
  <si>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</si>
  <si>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</si>
  <si>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</si>
  <si>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</si>
  <si>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</si>
  <si>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</si>
  <si>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</si>
  <si>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</si>
  <si>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</si>
  <si>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</si>
  <si>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</si>
  <si>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</si>
  <si>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</si>
  <si>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</si>
  <si>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</si>
  <si>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</si>
  <si>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</si>
  <si>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</si>
  <si>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</si>
  <si>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</si>
  <si>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</si>
  <si>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</si>
  <si>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</si>
  <si>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</si>
  <si>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</si>
  <si>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</si>
  <si>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</si>
  <si>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</si>
  <si>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</si>
  <si>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</si>
  <si>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</si>
  <si>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</si>
  <si>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</si>
  <si>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</si>
  <si>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</si>
  <si>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</si>
  <si>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</si>
  <si>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</si>
  <si>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</si>
  <si>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</si>
  <si>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</si>
  <si>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</si>
  <si>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</si>
  <si>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</si>
  <si>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</si>
  <si>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</si>
  <si>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</si>
  <si>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</si>
  <si>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</si>
  <si>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</si>
  <si>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</si>
  <si>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</si>
  <si>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</si>
  <si>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</si>
  <si>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</si>
  <si>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</si>
  <si>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</si>
  <si>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</si>
  <si>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</si>
  <si>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</si>
  <si>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</si>
  <si>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</si>
  <si>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</si>
  <si>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</si>
  <si>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</si>
  <si>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</si>
  <si>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</si>
  <si>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</si>
  <si>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</si>
  <si>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</si>
  <si>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</si>
  <si>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</si>
  <si>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</si>
  <si>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</si>
  <si>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</si>
  <si>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</si>
  <si>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</si>
  <si>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</si>
  <si>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</si>
  <si>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</si>
  <si>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</si>
  <si>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</si>
  <si>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</si>
  <si>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</si>
  <si>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</si>
  <si>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</si>
  <si>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</si>
  <si>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</si>
  <si>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</si>
  <si>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</si>
  <si>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</si>
  <si>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</si>
  <si>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</si>
  <si>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</si>
  <si>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</si>
  <si>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</si>
  <si>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</si>
  <si>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</si>
  <si>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</si>
  <si>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</si>
  <si>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</si>
  <si>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</si>
  <si>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</si>
  <si>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</si>
  <si>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</si>
  <si>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</si>
  <si>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</si>
  <si>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</si>
  <si>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</si>
  <si>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</si>
  <si>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</si>
  <si>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</si>
  <si>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</si>
  <si>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</si>
  <si>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</si>
  <si>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</si>
  <si>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</si>
  <si>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</si>
  <si>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</si>
  <si>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</si>
  <si>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</si>
  <si>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</si>
  <si>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</si>
  <si>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</si>
  <si>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 xml:space="preserve">Berechnung des Kostenbeitrags für die Zeit vom </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</si>
  <si>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</si>
  <si>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</si>
  <si>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</si>
  <si>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</si>
  <si>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</si>
  <si>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</si>
  <si>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</si>
  <si>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</si>
  <si>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</si>
  <si>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</si>
  <si>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</si>
  <si>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</si>
  <si>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</si>
  <si>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</si>
  <si>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</si>
  <si>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Umgruppierung in die Einkommensgruppe</t>
  </si>
  <si>
    <t>Geben Sie die Umgruppierung gem. Anmerkungen zur Düsseldorfer Tabelle manuell ein. Andernfalls wird die Berechnung hier nicht fortgesetzt.</t>
  </si>
  <si>
    <t>Name des</t>
  </si>
  <si>
    <t>geb. am</t>
  </si>
  <si>
    <t>Eigene</t>
  </si>
  <si>
    <t>Unterhalts-</t>
  </si>
  <si>
    <t>Berechtigten</t>
  </si>
  <si>
    <t>Einkünfte</t>
  </si>
  <si>
    <t>bedarf</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</si>
  <si>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</si>
  <si>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</si>
  <si>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</si>
  <si>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</si>
  <si>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</si>
  <si>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</si>
  <si>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</si>
  <si>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</si>
  <si>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</si>
  <si>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</si>
  <si>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</si>
  <si>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</si>
  <si>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</si>
  <si>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</si>
  <si>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</si>
  <si>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</si>
  <si>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</si>
  <si>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</si>
  <si>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</si>
  <si>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</si>
  <si>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</si>
  <si>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</si>
  <si>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</si>
  <si>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</si>
  <si>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</si>
  <si>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</si>
  <si>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</si>
  <si>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</si>
  <si>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</si>
  <si>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</si>
  <si>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</si>
  <si>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r>
      <t xml:space="preserve">Geben Sie </t>
    </r>
    <r>
      <rPr>
        <b/>
        <u/>
        <sz val="8"/>
        <color indexed="9"/>
        <rFont val="Arial"/>
        <family val="2"/>
      </rPr>
      <t>unbedingt</t>
    </r>
    <r>
      <rPr>
        <sz val="8"/>
        <color indexed="9"/>
        <rFont val="Arial"/>
        <family val="2"/>
      </rPr>
      <t xml:space="preserve"> den Zeitraum ein, aus dem Sie nachstehend das unterhaltsrechtlich relevante Einkommen ermitteln. Beide Felder müssen ausgefüllt sein, damit die Anzahl der Monate korrekt errechnet werden kann.</t>
    </r>
  </si>
  <si>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</si>
  <si>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</si>
  <si>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</si>
  <si>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</si>
  <si>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</si>
  <si>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</si>
  <si>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</si>
  <si>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</si>
  <si>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</si>
  <si>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</si>
  <si>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</si>
  <si>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</si>
  <si>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</si>
  <si>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</si>
  <si>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</si>
  <si>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</si>
  <si>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</si>
  <si>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</si>
  <si>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</si>
  <si>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</si>
  <si>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</si>
  <si>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</si>
  <si>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</si>
  <si>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</si>
  <si>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</si>
  <si>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</si>
  <si>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</si>
  <si>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</si>
  <si>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</si>
  <si>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</si>
  <si>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</si>
  <si>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</si>
  <si>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</si>
  <si>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</si>
  <si>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</si>
  <si>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</si>
  <si>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</si>
  <si>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</si>
  <si>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</si>
  <si>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</si>
  <si>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</si>
  <si>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</si>
  <si>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</si>
  <si>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</si>
  <si>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</si>
  <si>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</si>
  <si>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</si>
  <si>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</si>
  <si>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</si>
  <si>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</si>
  <si>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</si>
  <si>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</si>
  <si>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</si>
  <si>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</si>
  <si>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</si>
  <si>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</si>
  <si>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</si>
  <si>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</si>
  <si>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</si>
  <si>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</si>
  <si>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</si>
  <si>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</si>
  <si>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</si>
  <si>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</si>
  <si>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</si>
  <si>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</si>
  <si>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</si>
  <si>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</si>
  <si>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</si>
  <si>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</si>
  <si>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</si>
  <si>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</si>
  <si>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</si>
  <si>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</si>
  <si>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</si>
  <si>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</si>
  <si>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</si>
  <si>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</si>
  <si>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</si>
  <si>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</si>
  <si>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Monats-Nettobeträge</t>
  </si>
  <si>
    <t>Die Nebenrechnung muss nur ausgefüllt und gedruckt werden, wenn Sie in der Hauptberechnung entschieden haben, dass es Ansprüche vor- oder gleichrangig Berechtigter gibt und diese gemäß § $ Abs. 2 KostenbeitragsV zu schützen sind.</t>
  </si>
  <si>
    <t>für Elternteile, Ehegatten und Lebenspartner des volljährigen jungen Menschen</t>
  </si>
  <si>
    <t>Unterhaltsbedarf vorrangig Berechtigter des 1. Ranges</t>
  </si>
  <si>
    <t>(Minderjährige und privilegierte junge Volljährige, soweit nicht durch stationäre Unterbringung versorgt)</t>
  </si>
  <si>
    <t>Selbstbehalt des Pflichtigen gegenüber Berechtigten des 1. Ranges</t>
  </si>
  <si>
    <t>Verbleibendes Einkommen</t>
  </si>
  <si>
    <t>Unterhaltsbedarf vorrangig Berechtigter des 2. Ranges</t>
  </si>
  <si>
    <t>(Berechtigte nach § 1615 l BGB - Betreuungsunterhalt)</t>
  </si>
  <si>
    <t>Name des Berechtigten</t>
  </si>
  <si>
    <t>Eigenschaften des Berechtigten / 
Erläuterung Unterhaltsgrundlage</t>
  </si>
  <si>
    <t>Maßgebl.
Unterhalt
(lt. Titel)</t>
  </si>
  <si>
    <t>Eigene 
Einkünfte
./.</t>
  </si>
  <si>
    <t>Unterhalts-
bedarf</t>
  </si>
  <si>
    <t>Gesamtbedarf der Berechtigten 1. Ranges</t>
  </si>
  <si>
    <t>Gesamtbedarf der Berechtigten 2. Ranges</t>
  </si>
  <si>
    <t>Nebenrechnung "Schmälerungsverbot"</t>
  </si>
  <si>
    <r>
      <t xml:space="preserve">Für eine korrekte Bestimmung des maßgeblichen Einkommenszeitraums muss zumindest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r>
      <rPr>
        <sz val="8"/>
        <color indexed="9"/>
        <rFont val="Arial"/>
        <family val="2"/>
      </rPr>
      <t>.</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</si>
  <si>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</si>
  <si>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</si>
  <si>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theme="0"/>
        <rFont val="Arial"/>
        <family val="2"/>
      </rPr>
      <t>Achtung:</t>
    </r>
    <r>
      <rPr>
        <sz val="8"/>
        <color theme="0"/>
        <rFont val="Arial"/>
        <family val="2"/>
      </rPr>
      <t xml:space="preserve"> Die Formeln in dem von- und bis-Feld werden in diesem Fall überschrieben, danach muss - unabhängig vom Auswahlfeld - der richtige Zeitraum manuell erfasst werden.</t>
    </r>
  </si>
  <si>
    <t>Freilassung</t>
  </si>
  <si>
    <t>verbleibender Betrag</t>
  </si>
  <si>
    <t>Für die Eingruppierung sind der junge Mensch sowie alle gegenüber dem Kostenbeitragspflichtigen unterhaltsberechtigten (auch untergebrachte) Personen einzutragen, ohne Rücksicht auf deren Rang.  Dazu zählen auch Ehegatten und volljährige Kinder, soweit sie sich nicht selbst unterhalten können.</t>
  </si>
  <si>
    <t>Übertrag</t>
  </si>
  <si>
    <t>Die Umgruppierung richtet sich zunächst nach § 4 Absatz 1 KostenbeitragsV. Anschließend wird ggf. nach § 6 Satz 1-3 KostenbeitragsV eingruppiert.</t>
  </si>
  <si>
    <t>Es ist KEINE Reduzierung des Kostenbeitrags vorzunehmen.</t>
  </si>
  <si>
    <t>Laut Nebenrechnung ist 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</si>
  <si>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</si>
  <si>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</si>
  <si>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Die Hilfe erfolgt in einer Wochengruppe, der jg. Mensch lebt im Haushalt d. Kostenbeitragspflichtigen</t>
  </si>
  <si>
    <t>Es erfolgt wegen Wochengruppenunterbringung eine Freilassung von 50 %</t>
  </si>
  <si>
    <t>Die Hilfe erfolgt in einer Wochengruppe, der jg. Mensch lebt im Haushalt des anderen Elternteils</t>
  </si>
  <si>
    <t>Es erfolgt keine Freilassung wegen Wochengruppenunterbringung</t>
  </si>
  <si>
    <t>Freilassung bei Wochengruppenunterbringung</t>
  </si>
  <si>
    <t>Unterhaltsrechtlich relevante Einkünfte</t>
  </si>
  <si>
    <t>Unterhaltsrechtlich relevante Einkünfte (Übertrag)</t>
  </si>
  <si>
    <t>Beträge soweit noch nicht beim Einkommen berücksichtigt</t>
  </si>
  <si>
    <t>Unterhaltsrechtlich relevante Beiträge zur Risikoabsicherung und weitere Belastungen</t>
  </si>
  <si>
    <t>Tragen Sie hier Beiträge und weitere Belastungen ein, die beim o.a. Einkommen noch nicht berücksichtigt wurden, aber unterhaltsrechtlich anerkannt werden können. Die vorgegebenen Begriffe können überschrieben werden.</t>
  </si>
  <si>
    <r>
      <t xml:space="preserve">Berücksichtigung weiterer Unterhaltspflichten
</t>
    </r>
    <r>
      <rPr>
        <sz val="9"/>
        <rFont val="Arial"/>
        <family val="2"/>
      </rPr>
      <t>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Bei Leistungen für junge Volljährige sind Eltern höchstens zu einem Kostenbeitrag aufgrund der Einkommensgruppe 13 heranzuziehen. Die Begrenzung auf die Einkommensgruppe 13 gilt nicht für Ehegatten und Lebenspartner des jungen Menschen.
Gemäß § 6 Satz 4 KostenbeitragsV erfolgt bei der Heranziehung von Eltern eines jungen Volljährigen zunächst
die Eingruppierung nach § 4 Absatz 1 KostenbeitragsV, soweit vorrangig und/oder gleichrangig berechtigte 
Unterhaltsansprüche bestehen. Ergibt sich daraus eine Zuordnung des maßgeblichen Einkommens zu der 
Einkommensgruppe 2 oder 3, richtet sich die Kostenbeitragspflicht gemäß § 6 Satz 2 KostenbeitragsV 
letztlich nach der Einkommensgruppe 1. Bei einer Zuordnung des maßgeblichen Einkommens zu der 
Einkommensgruppe 4 ergibt sich ein Kostenbeitrag gemäß Einkommensgruppe 2.</t>
    </r>
  </si>
  <si>
    <t>Aktenzeichen, Datum der Berechnung</t>
  </si>
  <si>
    <t>Aktenzeichen</t>
  </si>
  <si>
    <t>Datum</t>
  </si>
  <si>
    <t>Unterschrift</t>
  </si>
  <si>
    <t>Die Hilfe erfolgt voll- oder teilstationär durchgehend während der gesamten Woche</t>
  </si>
  <si>
    <t>Nr.</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</si>
  <si>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</si>
  <si>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</si>
  <si>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</si>
  <si>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</si>
  <si>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</si>
  <si>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</si>
  <si>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</si>
  <si>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</si>
  <si>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</si>
  <si>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 xml:space="preserve">Geben Sie die Anzahl der vor-/gleichrangig Berechtigten ein, die nicht in Jugendhilfemaßnahmen untergebracht sind. Es erfolgt je weiterem Berechtigtem eine neue Ein- und Umgruppierung (siehe Ziffer 6.3.8 der Heranziehungsrichtlinie). 
Sind keine vor-/gleichrangig Berechtigten vorhanden, geben Sie 0 ein. </t>
  </si>
  <si>
    <t>anzurechnender</t>
  </si>
  <si>
    <t>Kindergeldbezug</t>
  </si>
  <si>
    <t>Treffen Sie für jeden eingetragenen Berechtigten unbedingt die Entscheidung, ob für ihn Kindergeld gewährt wird. Sind beide Eltern diesem ggü. unterhaltspflichtig, ist das Kindergeld hälftig, andernfalls voll abzusetzen.</t>
  </si>
  <si>
    <t>Selbstbehalt gg. Berechtigten 3. Rang</t>
  </si>
  <si>
    <t>Selbstbehalt vollzeit erwerbstätig 1. Rang</t>
  </si>
  <si>
    <t>Selbstbehal teilzeit erwerbstätig 1. Rang</t>
  </si>
  <si>
    <t>Selbstbehalt nicht erwerbstätig 1. Rang</t>
  </si>
  <si>
    <t>OLG 21.3.2</t>
  </si>
  <si>
    <t>OLG 21.4</t>
  </si>
  <si>
    <t>Selbstbehalt gg. Berechtigten 4. Rang</t>
  </si>
  <si>
    <t>OLG 21.3.1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</si>
</sst>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5" x14ac:knownFonts="1">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i/>
      <sz val="9"/>
      <name val="Arial"/>
      <family val="2"/>
    </font>
    <font>
      <b/>
      <sz val="10"/>
      <color indexed="10"/>
      <name val="Arial"/>
      <family val="2"/>
    </font>
    <font>
      <b/>
      <u/>
      <sz val="8"/>
      <color indexed="13"/>
      <name val="Arial"/>
      <family val="2"/>
    </font>
    <font>
      <b/>
      <sz val="9"/>
      <color indexed="10"/>
      <name val="Arial"/>
      <family val="2"/>
    </font>
    <font>
      <b/>
      <sz val="10"/>
      <color rgb="FFFF0000"/>
      <name val="Arial"/>
      <family val="2"/>
    </font>
    <font>
      <sz val="8"/>
      <color theme="0"/>
      <name val="Arial"/>
      <family val="2"/>
    </font>
    <font>
      <b/>
      <u/>
      <sz val="8"/>
      <color theme="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3"/>
      </right>
      <top/>
      <bottom style="thin">
        <color indexed="63"/>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bottom/>
      <diagonal/>
    </border>
    <border>
      <left style="thin">
        <color indexed="63"/>
      </left>
      <right/>
      <top style="thin">
        <color indexed="64"/>
      </top>
      <bottom/>
      <diagonal/>
    </border>
    <border>
      <left/>
      <right style="thin">
        <color indexed="63"/>
      </right>
      <top style="thin">
        <color indexed="64"/>
      </top>
      <bottom/>
      <diagonal/>
    </border>
    <border>
      <left/>
      <right style="thin">
        <color indexed="63"/>
      </right>
      <top/>
      <bottom style="thin">
        <color indexed="64"/>
      </bottom>
      <diagonal/>
    </border>
    <border>
      <left style="thin">
        <color indexed="63"/>
      </left>
      <right/>
      <top/>
      <bottom style="thin">
        <color indexed="64"/>
      </bottom>
      <diagonal/>
    </border>
    <border>
      <left style="thin">
        <color indexed="63"/>
      </left>
      <right/>
      <top/>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style="thin">
        <color indexed="63"/>
      </right>
      <top/>
      <bottom style="thin">
        <color indexed="63"/>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s>
  <cellStyleXfs count="5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77">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1" applyFont="1" applyFill="1" applyBorder="1" applyAlignment="1">
      <alignment vertical="center" wrapText="1"/>
    </xf>
    <xf numFmtId="0" fontId="42" fillId="26" borderId="11" xfId="41" applyFont="1" applyFill="1" applyBorder="1" applyAlignment="1">
      <alignment horizontal="right" vertical="center" wrapText="1"/>
    </xf>
    <xf numFmtId="0" fontId="39" fillId="0" borderId="0" xfId="41" applyFont="1" applyAlignment="1">
      <alignment horizontal="center" vertical="center" wrapText="1"/>
    </xf>
    <xf numFmtId="0" fontId="42" fillId="27" borderId="12" xfId="41" applyFont="1" applyFill="1" applyBorder="1" applyAlignment="1">
      <alignment horizontal="center" vertical="center" wrapText="1"/>
    </xf>
    <xf numFmtId="0" fontId="4" fillId="0" borderId="0" xfId="41"/>
    <xf numFmtId="0" fontId="42" fillId="0" borderId="12" xfId="41" applyFont="1" applyBorder="1" applyAlignment="1">
      <alignment horizontal="center" vertical="center"/>
    </xf>
    <xf numFmtId="165" fontId="39" fillId="0" borderId="12" xfId="41" applyNumberFormat="1" applyFont="1" applyBorder="1" applyAlignment="1">
      <alignment horizontal="left" vertical="center"/>
    </xf>
    <xf numFmtId="165" fontId="39" fillId="0" borderId="12" xfId="41" applyNumberFormat="1" applyFont="1" applyBorder="1" applyAlignment="1">
      <alignment horizontal="right" vertical="center"/>
    </xf>
    <xf numFmtId="0" fontId="39" fillId="0" borderId="0" xfId="41" applyFont="1" applyAlignment="1">
      <alignment horizontal="center" vertical="center"/>
    </xf>
    <xf numFmtId="0" fontId="39" fillId="27" borderId="12" xfId="41" applyFont="1" applyFill="1" applyBorder="1" applyAlignment="1">
      <alignment horizontal="center" vertical="center"/>
    </xf>
    <xf numFmtId="0" fontId="42" fillId="0" borderId="0" xfId="41" applyFont="1" applyBorder="1" applyAlignment="1">
      <alignment horizontal="center" vertical="center"/>
    </xf>
    <xf numFmtId="165" fontId="39" fillId="0" borderId="0" xfId="41" applyNumberFormat="1" applyFont="1" applyBorder="1" applyAlignment="1">
      <alignment horizontal="left" vertical="center"/>
    </xf>
    <xf numFmtId="165" fontId="39" fillId="0" borderId="0" xfId="41" applyNumberFormat="1" applyFont="1" applyBorder="1" applyAlignment="1">
      <alignment horizontal="right" vertical="center"/>
    </xf>
    <xf numFmtId="0" fontId="39" fillId="0" borderId="0" xfId="41" applyFont="1" applyFill="1" applyBorder="1" applyAlignment="1">
      <alignment horizontal="center" vertical="center"/>
    </xf>
    <xf numFmtId="0" fontId="39" fillId="0" borderId="0" xfId="41" applyFont="1" applyAlignment="1">
      <alignment horizontal="left" vertical="center"/>
    </xf>
    <xf numFmtId="165" fontId="39" fillId="0" borderId="0" xfId="41" applyNumberFormat="1" applyFont="1" applyFill="1" applyBorder="1" applyAlignment="1" applyProtection="1">
      <alignment horizontal="right" vertical="center"/>
      <protection locked="0"/>
    </xf>
    <xf numFmtId="0" fontId="39" fillId="0" borderId="0" xfId="41" applyFont="1" applyAlignment="1">
      <alignment horizontal="right" vertical="center"/>
    </xf>
    <xf numFmtId="165" fontId="39" fillId="0" borderId="0" xfId="41" applyNumberFormat="1" applyFont="1" applyAlignment="1">
      <alignment horizontal="center" vertical="center"/>
    </xf>
    <xf numFmtId="0" fontId="43" fillId="0" borderId="0" xfId="41"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3"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8"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31" borderId="12" xfId="36" applyNumberFormat="1" applyFont="1" applyFill="1" applyBorder="1" applyAlignment="1">
      <alignment horizontal="left" vertical="center"/>
    </xf>
    <xf numFmtId="165" fontId="39" fillId="31" borderId="12" xfId="36" applyNumberFormat="1" applyFont="1" applyFill="1" applyBorder="1" applyAlignment="1">
      <alignment horizontal="right"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40"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1"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40"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40" applyFont="1" applyFill="1" applyAlignment="1" applyProtection="1">
      <alignment horizontal="left" vertical="center"/>
      <protection hidden="1"/>
    </xf>
    <xf numFmtId="0" fontId="58" fillId="32" borderId="0" xfId="40" applyFont="1" applyFill="1" applyBorder="1" applyAlignment="1" applyProtection="1">
      <alignment horizontal="left" vertical="center"/>
      <protection hidden="1"/>
    </xf>
    <xf numFmtId="0" fontId="61" fillId="32" borderId="0" xfId="40"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4" fillId="24" borderId="0" xfId="40" applyFont="1" applyFill="1" applyBorder="1" applyAlignment="1" applyProtection="1">
      <alignment vertical="center"/>
      <protection hidden="1"/>
    </xf>
    <xf numFmtId="0" fontId="65" fillId="24" borderId="0" xfId="40" applyFont="1" applyFill="1" applyBorder="1" applyAlignment="1" applyProtection="1">
      <alignment vertical="center"/>
      <protection hidden="1"/>
    </xf>
    <xf numFmtId="0" fontId="53" fillId="24" borderId="0" xfId="40" applyFont="1" applyFill="1" applyBorder="1" applyAlignment="1" applyProtection="1">
      <alignment vertical="center"/>
      <protection hidden="1"/>
    </xf>
    <xf numFmtId="8" fontId="53" fillId="24" borderId="0" xfId="40" applyNumberFormat="1" applyFont="1" applyFill="1" applyBorder="1" applyAlignment="1" applyProtection="1">
      <alignment vertical="center"/>
      <protection hidden="1"/>
    </xf>
    <xf numFmtId="0" fontId="53" fillId="24" borderId="0" xfId="40" applyFont="1" applyFill="1" applyBorder="1" applyAlignment="1" applyProtection="1">
      <alignment horizontal="center" vertical="center"/>
      <protection hidden="1"/>
    </xf>
    <xf numFmtId="0" fontId="4" fillId="24" borderId="0" xfId="40" applyFont="1" applyFill="1" applyBorder="1" applyAlignment="1" applyProtection="1">
      <alignment vertical="center"/>
      <protection hidden="1"/>
    </xf>
    <xf numFmtId="8" fontId="4" fillId="24" borderId="0" xfId="40" applyNumberFormat="1" applyFont="1" applyFill="1" applyBorder="1" applyAlignment="1" applyProtection="1">
      <alignment vertical="center"/>
      <protection hidden="1"/>
    </xf>
    <xf numFmtId="0" fontId="4" fillId="24" borderId="0" xfId="40" applyFont="1" applyFill="1" applyBorder="1" applyAlignment="1" applyProtection="1">
      <alignment horizontal="center" vertical="center"/>
      <protection hidden="1"/>
    </xf>
    <xf numFmtId="0" fontId="4" fillId="24" borderId="0" xfId="40" applyFont="1" applyFill="1" applyBorder="1" applyAlignment="1" applyProtection="1">
      <alignment horizontal="left" vertical="center"/>
      <protection hidden="1"/>
    </xf>
    <xf numFmtId="8" fontId="4" fillId="24" borderId="0" xfId="40" applyNumberFormat="1" applyFont="1" applyFill="1" applyBorder="1" applyAlignment="1" applyProtection="1">
      <alignment horizontal="right" vertical="center"/>
      <protection hidden="1"/>
    </xf>
    <xf numFmtId="0" fontId="4" fillId="24" borderId="0" xfId="40" applyFont="1" applyFill="1" applyAlignment="1" applyProtection="1">
      <alignment vertical="center"/>
      <protection hidden="1"/>
    </xf>
    <xf numFmtId="0" fontId="3" fillId="24" borderId="0" xfId="40" applyFont="1" applyFill="1" applyAlignment="1" applyProtection="1">
      <alignment vertical="center"/>
      <protection hidden="1"/>
    </xf>
    <xf numFmtId="0" fontId="4" fillId="24" borderId="0" xfId="40" applyFont="1" applyFill="1" applyAlignment="1" applyProtection="1">
      <alignment horizontal="center" vertical="center"/>
      <protection hidden="1"/>
    </xf>
    <xf numFmtId="8" fontId="4" fillId="24" borderId="0" xfId="40" applyNumberFormat="1" applyFont="1" applyFill="1" applyAlignment="1" applyProtection="1">
      <alignment vertical="center"/>
      <protection hidden="1"/>
    </xf>
    <xf numFmtId="0" fontId="62" fillId="24" borderId="0" xfId="40" applyFont="1" applyFill="1" applyAlignment="1" applyProtection="1">
      <alignment vertical="center"/>
      <protection hidden="1"/>
    </xf>
    <xf numFmtId="0" fontId="26" fillId="24" borderId="0" xfId="0" applyFont="1" applyFill="1" applyAlignment="1" applyProtection="1">
      <alignment vertical="center"/>
      <protection hidden="1"/>
    </xf>
    <xf numFmtId="8" fontId="63"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6" fillId="24" borderId="0" xfId="0" applyFont="1" applyFill="1" applyAlignment="1" applyProtection="1">
      <alignment vertical="center"/>
      <protection hidden="1"/>
    </xf>
    <xf numFmtId="8" fontId="63" fillId="24" borderId="0" xfId="0" applyNumberFormat="1" applyFont="1" applyFill="1" applyAlignment="1" applyProtection="1">
      <alignment horizontal="right" vertical="center"/>
      <protection hidden="1"/>
    </xf>
    <xf numFmtId="0" fontId="4" fillId="24" borderId="10" xfId="40"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40" applyNumberFormat="1" applyFont="1" applyFill="1" applyBorder="1" applyAlignment="1" applyProtection="1">
      <alignment horizontal="right" vertical="center"/>
      <protection hidden="1"/>
    </xf>
    <xf numFmtId="8" fontId="3" fillId="24" borderId="0" xfId="40" applyNumberFormat="1" applyFont="1" applyFill="1" applyBorder="1" applyAlignment="1" applyProtection="1">
      <alignment horizontal="right" vertical="center"/>
      <protection hidden="1"/>
    </xf>
    <xf numFmtId="0" fontId="3" fillId="24" borderId="0" xfId="40"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40" applyFont="1" applyFill="1" applyBorder="1" applyAlignment="1" applyProtection="1">
      <alignment vertical="center"/>
      <protection hidden="1"/>
    </xf>
    <xf numFmtId="0" fontId="39" fillId="24" borderId="0" xfId="40" applyFont="1" applyFill="1" applyAlignment="1" applyProtection="1">
      <alignment vertical="center"/>
      <protection hidden="1"/>
    </xf>
    <xf numFmtId="0" fontId="3" fillId="24" borderId="0" xfId="40" applyFont="1" applyFill="1" applyBorder="1" applyAlignment="1" applyProtection="1">
      <alignment vertical="center"/>
      <protection hidden="1"/>
    </xf>
    <xf numFmtId="0" fontId="51" fillId="30" borderId="0" xfId="40" applyFont="1" applyFill="1" applyAlignment="1" applyProtection="1">
      <alignment horizontal="center" vertical="center"/>
      <protection locked="0" hidden="1"/>
    </xf>
    <xf numFmtId="0" fontId="39" fillId="24" borderId="13" xfId="40" applyFont="1" applyFill="1" applyBorder="1" applyAlignment="1" applyProtection="1">
      <alignment vertical="center"/>
      <protection hidden="1"/>
    </xf>
    <xf numFmtId="0" fontId="39" fillId="24" borderId="10" xfId="40" applyFont="1" applyFill="1" applyBorder="1" applyAlignment="1" applyProtection="1">
      <alignment vertical="center"/>
      <protection hidden="1"/>
    </xf>
    <xf numFmtId="0" fontId="4" fillId="24" borderId="14" xfId="40" applyFont="1" applyFill="1" applyBorder="1" applyAlignment="1" applyProtection="1">
      <alignment horizontal="center" vertical="center"/>
      <protection hidden="1"/>
    </xf>
    <xf numFmtId="0" fontId="39" fillId="24" borderId="12" xfId="40" applyFont="1" applyFill="1" applyBorder="1" applyAlignment="1" applyProtection="1">
      <alignment vertical="center"/>
      <protection hidden="1"/>
    </xf>
    <xf numFmtId="167" fontId="4" fillId="24" borderId="0" xfId="40" applyNumberFormat="1" applyFont="1" applyFill="1" applyBorder="1" applyAlignment="1" applyProtection="1">
      <alignment horizontal="center" vertical="center"/>
      <protection hidden="1"/>
    </xf>
    <xf numFmtId="167" fontId="4" fillId="24" borderId="0" xfId="40" applyNumberFormat="1" applyFont="1" applyFill="1" applyBorder="1" applyAlignment="1" applyProtection="1">
      <alignment vertical="center"/>
      <protection hidden="1"/>
    </xf>
    <xf numFmtId="0" fontId="50" fillId="24" borderId="0" xfId="40"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59" fillId="24" borderId="0" xfId="40" applyFont="1" applyFill="1" applyBorder="1" applyAlignment="1" applyProtection="1">
      <alignment horizontal="left" vertical="center"/>
      <protection hidden="1"/>
    </xf>
    <xf numFmtId="166" fontId="5" fillId="24" borderId="0" xfId="40" applyNumberFormat="1" applyFont="1" applyFill="1" applyBorder="1" applyAlignment="1" applyProtection="1">
      <alignment horizontal="center" vertical="center"/>
      <protection hidden="1"/>
    </xf>
    <xf numFmtId="167" fontId="5" fillId="24" borderId="0" xfId="40"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7"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40" applyFont="1" applyFill="1" applyAlignment="1" applyProtection="1">
      <alignment horizontal="left" vertical="center" wrapText="1"/>
      <protection hidden="1"/>
    </xf>
    <xf numFmtId="0" fontId="47" fillId="32" borderId="0" xfId="40"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2" fillId="24" borderId="0" xfId="36" applyFont="1" applyFill="1" applyBorder="1" applyAlignment="1" applyProtection="1">
      <alignment vertical="center"/>
      <protection hidden="1"/>
    </xf>
    <xf numFmtId="0" fontId="65" fillId="24" borderId="0" xfId="36" applyFont="1" applyFill="1" applyBorder="1" applyAlignment="1" applyProtection="1">
      <alignment vertical="center"/>
      <protection hidden="1"/>
    </xf>
    <xf numFmtId="0" fontId="72" fillId="24" borderId="0" xfId="36" applyFont="1" applyFill="1" applyBorder="1" applyAlignment="1" applyProtection="1">
      <alignment horizontal="left" vertical="center"/>
      <protection hidden="1"/>
    </xf>
    <xf numFmtId="14" fontId="72"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4" fillId="24" borderId="0" xfId="36" applyFont="1" applyFill="1" applyBorder="1" applyAlignment="1" applyProtection="1">
      <alignment vertical="center"/>
      <protection hidden="1"/>
    </xf>
    <xf numFmtId="0" fontId="70" fillId="24" borderId="0" xfId="36" applyFont="1" applyFill="1" applyBorder="1" applyAlignment="1" applyProtection="1">
      <alignment vertical="center"/>
      <protection hidden="1"/>
    </xf>
    <xf numFmtId="0" fontId="73"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2" fillId="32" borderId="0" xfId="36"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4"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1"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1"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2"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5" fillId="32" borderId="0" xfId="0" applyFont="1" applyFill="1" applyAlignment="1" applyProtection="1">
      <alignment vertical="center"/>
      <protection hidden="1"/>
    </xf>
    <xf numFmtId="0" fontId="75"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1"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40" applyFont="1" applyFill="1" applyAlignment="1" applyProtection="1">
      <alignment horizontal="left" vertical="center" wrapText="1"/>
      <protection hidden="1"/>
    </xf>
    <xf numFmtId="0" fontId="58" fillId="24" borderId="0" xfId="40"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6" fillId="24" borderId="12" xfId="41" applyFont="1" applyFill="1" applyBorder="1" applyAlignment="1" applyProtection="1">
      <alignment horizontal="center" vertical="center"/>
      <protection hidden="1"/>
    </xf>
    <xf numFmtId="165" fontId="38" fillId="24" borderId="12" xfId="41"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1" applyFont="1" applyFill="1" applyBorder="1" applyAlignment="1" applyProtection="1">
      <alignment horizontal="center" vertical="top" wrapText="1"/>
      <protection hidden="1"/>
    </xf>
    <xf numFmtId="8" fontId="38" fillId="24" borderId="12" xfId="41" applyNumberFormat="1" applyFont="1" applyFill="1" applyBorder="1" applyAlignment="1" applyProtection="1">
      <alignment horizontal="center" vertical="center"/>
      <protection hidden="1"/>
    </xf>
    <xf numFmtId="0" fontId="78" fillId="24" borderId="0" xfId="0" applyFont="1" applyFill="1" applyAlignment="1" applyProtection="1">
      <alignment horizontal="left"/>
      <protection hidden="1"/>
    </xf>
    <xf numFmtId="0" fontId="77" fillId="24" borderId="0" xfId="0" applyFont="1" applyFill="1" applyAlignment="1" applyProtection="1">
      <alignment horizontal="center"/>
      <protection hidden="1"/>
    </xf>
    <xf numFmtId="0" fontId="77"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7"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6" fillId="24" borderId="0" xfId="41" applyFont="1" applyFill="1" applyAlignment="1" applyProtection="1">
      <alignment horizontal="left"/>
      <protection hidden="1"/>
    </xf>
    <xf numFmtId="0" fontId="38" fillId="24" borderId="0" xfId="41"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3" fillId="34" borderId="0" xfId="36" applyFont="1" applyFill="1" applyBorder="1" applyAlignment="1" applyProtection="1">
      <alignment horizontal="left" vertical="center"/>
      <protection hidden="1"/>
    </xf>
    <xf numFmtId="14" fontId="73" fillId="34" borderId="0" xfId="36" applyNumberFormat="1" applyFont="1" applyFill="1" applyBorder="1" applyAlignment="1" applyProtection="1">
      <alignment horizontal="left" vertical="center"/>
      <protection hidden="1"/>
    </xf>
    <xf numFmtId="0" fontId="73" fillId="34" borderId="0" xfId="36" applyFont="1" applyFill="1" applyBorder="1" applyAlignment="1" applyProtection="1">
      <alignment vertical="center"/>
      <protection hidden="1"/>
    </xf>
    <xf numFmtId="0" fontId="73"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1" applyFont="1" applyBorder="1" applyAlignment="1">
      <alignment horizontal="center" vertical="center"/>
    </xf>
    <xf numFmtId="165" fontId="39" fillId="0" borderId="12" xfId="41"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39" fillId="24" borderId="15" xfId="40" applyFont="1" applyFill="1" applyBorder="1" applyAlignment="1" applyProtection="1">
      <alignment vertical="center"/>
      <protection hidden="1"/>
    </xf>
    <xf numFmtId="0" fontId="4" fillId="24" borderId="16" xfId="40" applyFont="1" applyFill="1" applyBorder="1" applyAlignment="1" applyProtection="1">
      <alignment horizontal="center" vertical="center"/>
      <protection hidden="1"/>
    </xf>
    <xf numFmtId="0" fontId="39" fillId="24" borderId="17" xfId="40" applyFont="1" applyFill="1" applyBorder="1" applyAlignment="1" applyProtection="1">
      <alignment horizontal="center" vertical="center"/>
      <protection hidden="1"/>
    </xf>
    <xf numFmtId="0" fontId="39" fillId="24" borderId="18" xfId="40" applyFont="1" applyFill="1" applyBorder="1" applyAlignment="1" applyProtection="1">
      <alignment horizontal="center" vertical="center"/>
      <protection hidden="1"/>
    </xf>
    <xf numFmtId="0" fontId="39" fillId="24" borderId="19" xfId="40" applyFont="1" applyFill="1" applyBorder="1" applyAlignment="1" applyProtection="1">
      <alignment horizontal="center" vertical="center"/>
      <protection hidden="1"/>
    </xf>
    <xf numFmtId="0" fontId="4" fillId="24" borderId="0" xfId="40" applyFont="1" applyFill="1" applyBorder="1" applyAlignment="1" applyProtection="1">
      <alignment horizontal="center" vertical="top"/>
      <protection hidden="1"/>
    </xf>
    <xf numFmtId="0" fontId="58" fillId="32" borderId="0" xfId="40" applyFont="1" applyFill="1" applyAlignment="1" applyProtection="1">
      <alignment horizontal="left" vertical="top"/>
      <protection hidden="1"/>
    </xf>
    <xf numFmtId="0" fontId="4" fillId="24" borderId="0" xfId="40" applyFont="1" applyFill="1" applyAlignment="1" applyProtection="1">
      <alignment vertical="top"/>
      <protection hidden="1"/>
    </xf>
    <xf numFmtId="0" fontId="2" fillId="24" borderId="17" xfId="40" applyFont="1" applyFill="1" applyBorder="1" applyAlignment="1" applyProtection="1">
      <alignment vertical="top" wrapText="1"/>
      <protection hidden="1"/>
    </xf>
    <xf numFmtId="0" fontId="2" fillId="24" borderId="18" xfId="40" applyFont="1" applyFill="1" applyBorder="1" applyAlignment="1" applyProtection="1">
      <alignment vertical="top" wrapText="1"/>
      <protection hidden="1"/>
    </xf>
    <xf numFmtId="0" fontId="2" fillId="24" borderId="19" xfId="40" applyFont="1" applyFill="1" applyBorder="1" applyAlignment="1" applyProtection="1">
      <alignment vertical="top" wrapText="1"/>
      <protection hidden="1"/>
    </xf>
    <xf numFmtId="0" fontId="4" fillId="24" borderId="20" xfId="40" applyFont="1" applyFill="1" applyBorder="1" applyAlignment="1" applyProtection="1">
      <alignment horizontal="center" vertical="center"/>
      <protection hidden="1"/>
    </xf>
    <xf numFmtId="0" fontId="2" fillId="0" borderId="0" xfId="39" applyFont="1" applyAlignment="1">
      <alignment horizontal="left"/>
    </xf>
    <xf numFmtId="44" fontId="4" fillId="24" borderId="0" xfId="40" applyNumberFormat="1" applyFont="1" applyFill="1" applyAlignment="1" applyProtection="1">
      <alignment horizontal="left" vertical="center"/>
      <protection hidden="1"/>
    </xf>
    <xf numFmtId="0" fontId="3" fillId="0" borderId="0" xfId="38" applyFont="1" applyAlignment="1">
      <alignment horizontal="left"/>
    </xf>
    <xf numFmtId="0" fontId="9" fillId="0" borderId="0" xfId="38" applyAlignment="1">
      <alignment horizontal="left"/>
    </xf>
    <xf numFmtId="0" fontId="2" fillId="0" borderId="0" xfId="39" applyFont="1" applyAlignment="1">
      <alignment horizontal="right" vertical="center"/>
    </xf>
    <xf numFmtId="0" fontId="2" fillId="0" borderId="0" xfId="39" applyFont="1" applyAlignment="1">
      <alignment horizontal="left" vertical="center"/>
    </xf>
    <xf numFmtId="0" fontId="2" fillId="0" borderId="0" xfId="39" applyFont="1" applyAlignment="1">
      <alignment horizontal="right"/>
    </xf>
    <xf numFmtId="0" fontId="3" fillId="0" borderId="0" xfId="38" applyFont="1" applyAlignment="1">
      <alignment horizontal="right"/>
    </xf>
    <xf numFmtId="8" fontId="9" fillId="0" borderId="0" xfId="38" applyNumberFormat="1" applyAlignment="1">
      <alignment horizontal="right"/>
    </xf>
    <xf numFmtId="0" fontId="2" fillId="24" borderId="12" xfId="40" applyFont="1" applyFill="1" applyBorder="1" applyAlignment="1" applyProtection="1">
      <alignment vertical="center"/>
      <protection hidden="1"/>
    </xf>
    <xf numFmtId="0" fontId="3" fillId="24" borderId="0" xfId="40" applyFont="1" applyFill="1" applyAlignment="1" applyProtection="1">
      <alignment horizontal="right" vertical="center"/>
      <protection hidden="1"/>
    </xf>
    <xf numFmtId="0" fontId="71" fillId="32" borderId="0" xfId="40" applyFont="1" applyFill="1" applyAlignment="1" applyProtection="1">
      <alignment vertical="center" wrapText="1"/>
      <protection hidden="1"/>
    </xf>
    <xf numFmtId="0" fontId="81" fillId="24" borderId="0" xfId="40" applyFont="1" applyFill="1" applyAlignment="1" applyProtection="1">
      <alignment vertical="center"/>
      <protection hidden="1"/>
    </xf>
    <xf numFmtId="0" fontId="75" fillId="32" borderId="0" xfId="40" applyFont="1" applyFill="1" applyAlignment="1" applyProtection="1">
      <alignment vertical="center" wrapText="1"/>
      <protection hidden="1"/>
    </xf>
    <xf numFmtId="8" fontId="4" fillId="24" borderId="0" xfId="40" applyNumberFormat="1" applyFont="1" applyFill="1" applyBorder="1" applyAlignment="1" applyProtection="1">
      <alignment horizontal="right" vertical="center"/>
      <protection hidden="1"/>
    </xf>
    <xf numFmtId="0" fontId="1" fillId="0" borderId="0" xfId="0" applyFont="1" applyAlignment="1">
      <alignment vertical="center"/>
    </xf>
    <xf numFmtId="0" fontId="82" fillId="24" borderId="0" xfId="0" applyFont="1" applyFill="1" applyAlignment="1" applyProtection="1">
      <alignment vertical="center"/>
      <protection hidden="1"/>
    </xf>
    <xf numFmtId="14" fontId="82" fillId="24" borderId="0" xfId="36" applyNumberFormat="1" applyFont="1" applyFill="1" applyBorder="1" applyAlignment="1" applyProtection="1">
      <alignment horizontal="lef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1" fillId="24" borderId="0" xfId="0" applyFont="1" applyFill="1" applyBorder="1" applyAlignment="1" applyProtection="1">
      <alignment horizontal="center"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82" fillId="24" borderId="0" xfId="40" applyFont="1" applyFill="1" applyAlignment="1" applyProtection="1">
      <alignment vertical="center"/>
      <protection hidden="1"/>
    </xf>
    <xf numFmtId="0" fontId="47" fillId="32" borderId="0" xfId="0" applyFont="1" applyFill="1" applyAlignment="1" applyProtection="1">
      <alignment horizontal="left" vertical="center" wrapText="1"/>
      <protection hidden="1"/>
    </xf>
    <xf numFmtId="8" fontId="3" fillId="24" borderId="0" xfId="40" applyNumberFormat="1" applyFont="1" applyFill="1" applyBorder="1" applyAlignment="1" applyProtection="1">
      <alignment horizontal="right" vertical="center"/>
      <protection hidden="1"/>
    </xf>
    <xf numFmtId="0" fontId="47" fillId="32" borderId="0" xfId="40" applyFont="1" applyFill="1" applyAlignment="1" applyProtection="1">
      <alignment horizontal="left" vertical="center" wrapText="1"/>
      <protection hidden="1"/>
    </xf>
    <xf numFmtId="0" fontId="1" fillId="0" borderId="0" xfId="0" applyFont="1" applyAlignment="1">
      <alignment horizontal="left" vertical="center"/>
    </xf>
    <xf numFmtId="0" fontId="1" fillId="24" borderId="0" xfId="40" applyFont="1" applyFill="1" applyAlignment="1" applyProtection="1">
      <alignment vertical="center"/>
      <protection hidden="1"/>
    </xf>
    <xf numFmtId="0" fontId="3" fillId="24" borderId="10" xfId="40" applyFont="1" applyFill="1" applyBorder="1" applyAlignment="1" applyProtection="1">
      <alignment horizontal="center" vertical="center"/>
      <protection hidden="1"/>
    </xf>
    <xf numFmtId="0" fontId="58" fillId="32" borderId="0" xfId="0" applyFont="1" applyFill="1" applyAlignment="1" applyProtection="1">
      <alignment horizontal="left" vertical="center" wrapText="1"/>
      <protection hidden="1"/>
    </xf>
    <xf numFmtId="0" fontId="36" fillId="24" borderId="10" xfId="0" applyFont="1" applyFill="1" applyBorder="1" applyAlignment="1" applyProtection="1">
      <alignment vertical="center"/>
      <protection hidden="1"/>
    </xf>
    <xf numFmtId="0" fontId="2" fillId="0" borderId="0" xfId="41" applyFont="1" applyAlignment="1">
      <alignment horizontal="center" vertical="center"/>
    </xf>
    <xf numFmtId="0" fontId="2" fillId="0" borderId="10" xfId="41" applyFont="1" applyBorder="1" applyAlignment="1">
      <alignment horizontal="left" vertical="center"/>
    </xf>
    <xf numFmtId="0" fontId="2" fillId="0" borderId="0" xfId="41" applyFont="1" applyAlignment="1">
      <alignment horizontal="left" vertical="center"/>
    </xf>
    <xf numFmtId="0" fontId="2" fillId="0" borderId="0" xfId="40" applyFont="1" applyAlignment="1">
      <alignment horizontal="left"/>
    </xf>
    <xf numFmtId="0" fontId="2" fillId="0" borderId="0" xfId="36" applyFont="1" applyAlignment="1">
      <alignment horizontal="left"/>
    </xf>
    <xf numFmtId="0" fontId="52" fillId="28" borderId="0" xfId="32" applyNumberFormat="1" applyFont="1" applyFill="1" applyBorder="1" applyAlignment="1" applyProtection="1">
      <alignment horizontal="center" vertical="center"/>
      <protection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0" fontId="5" fillId="30" borderId="0" xfId="37" applyFont="1" applyFill="1" applyAlignment="1" applyProtection="1">
      <alignment horizontal="left" vertical="center"/>
      <protection locked="0"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5" fillId="24" borderId="0" xfId="37" applyFont="1" applyFill="1" applyAlignment="1" applyProtection="1">
      <alignment horizontal="left" vertical="center"/>
      <protection hidden="1"/>
    </xf>
    <xf numFmtId="8" fontId="1" fillId="30" borderId="0" xfId="0" applyNumberFormat="1" applyFont="1" applyFill="1" applyAlignment="1" applyProtection="1">
      <alignment horizontal="right" vertical="center"/>
      <protection locked="0" hidden="1"/>
    </xf>
    <xf numFmtId="0" fontId="51" fillId="30" borderId="0" xfId="0" applyFont="1" applyFill="1" applyAlignment="1" applyProtection="1">
      <alignment horizontal="left" vertical="center"/>
      <protection locked="0" hidden="1"/>
    </xf>
    <xf numFmtId="14" fontId="51" fillId="30" borderId="0" xfId="0" applyNumberFormat="1" applyFont="1" applyFill="1" applyAlignment="1" applyProtection="1">
      <alignment horizontal="left" vertical="center"/>
      <protection locked="0" hidden="1"/>
    </xf>
    <xf numFmtId="14" fontId="3" fillId="24" borderId="0" xfId="0" applyNumberFormat="1" applyFont="1" applyFill="1" applyAlignment="1" applyProtection="1">
      <alignment horizontal="left" vertical="center"/>
      <protection locked="0"/>
    </xf>
    <xf numFmtId="14" fontId="3" fillId="24" borderId="0" xfId="0" applyNumberFormat="1" applyFont="1" applyFill="1" applyAlignment="1" applyProtection="1">
      <alignment horizontal="center" vertical="center"/>
      <protection locked="0"/>
    </xf>
    <xf numFmtId="0" fontId="1" fillId="24" borderId="0" xfId="0" applyFont="1" applyFill="1" applyAlignment="1" applyProtection="1">
      <alignment horizontal="center" vertical="center"/>
      <protection hidden="1"/>
    </xf>
    <xf numFmtId="0" fontId="58" fillId="32" borderId="0" xfId="0" applyFont="1" applyFill="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8" fontId="1" fillId="30" borderId="10" xfId="0" applyNumberFormat="1" applyFont="1" applyFill="1" applyBorder="1" applyAlignment="1" applyProtection="1">
      <alignment horizontal="right" vertical="center"/>
      <protection locked="0" hidden="1"/>
    </xf>
    <xf numFmtId="0" fontId="83" fillId="32" borderId="0" xfId="0" applyFont="1" applyFill="1" applyAlignment="1" applyProtection="1">
      <alignment horizontal="left" vertical="center" wrapText="1"/>
      <protection hidden="1"/>
    </xf>
    <xf numFmtId="0" fontId="58" fillId="32" borderId="0" xfId="0" applyFont="1" applyFill="1" applyAlignment="1" applyProtection="1">
      <alignment horizontal="left" vertical="top" wrapText="1"/>
      <protection hidden="1"/>
    </xf>
    <xf numFmtId="8" fontId="48" fillId="28" borderId="21" xfId="0" applyNumberFormat="1" applyFont="1" applyFill="1" applyBorder="1" applyAlignment="1" applyProtection="1">
      <alignment horizontal="right" vertical="center"/>
      <protection hidden="1"/>
    </xf>
    <xf numFmtId="0" fontId="48" fillId="28" borderId="22" xfId="0" applyFont="1" applyFill="1" applyBorder="1" applyAlignment="1" applyProtection="1">
      <alignment horizontal="right" vertical="center"/>
      <protection hidden="1"/>
    </xf>
    <xf numFmtId="0" fontId="48" fillId="28" borderId="23" xfId="0" applyFont="1" applyFill="1" applyBorder="1" applyAlignment="1" applyProtection="1">
      <alignment horizontal="righ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8" fontId="1" fillId="24" borderId="10" xfId="0" applyNumberFormat="1" applyFont="1" applyFill="1" applyBorder="1" applyAlignment="1" applyProtection="1">
      <alignment horizontal="right" vertical="center"/>
      <protection hidden="1"/>
    </xf>
    <xf numFmtId="8" fontId="26" fillId="24" borderId="0" xfId="37" applyNumberFormat="1" applyFont="1" applyFill="1" applyBorder="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8" fontId="4" fillId="24" borderId="0" xfId="37" applyNumberFormat="1" applyFont="1" applyFill="1" applyAlignment="1" applyProtection="1">
      <alignment horizontal="right" vertical="center"/>
      <protection hidden="1"/>
    </xf>
    <xf numFmtId="8" fontId="37" fillId="24" borderId="0" xfId="37" applyNumberFormat="1" applyFont="1" applyFill="1" applyBorder="1" applyAlignment="1" applyProtection="1">
      <alignment horizontal="right" vertical="center"/>
      <protection hidden="1"/>
    </xf>
    <xf numFmtId="0" fontId="60" fillId="32" borderId="0" xfId="0" applyFont="1" applyFill="1" applyAlignment="1" applyProtection="1">
      <alignment horizontal="left" vertical="center" wrapText="1"/>
      <protection hidden="1"/>
    </xf>
    <xf numFmtId="0" fontId="26" fillId="30" borderId="0" xfId="37" applyFont="1" applyFill="1" applyAlignment="1" applyProtection="1">
      <alignment horizontal="left" vertical="center"/>
      <protection locked="0" hidden="1"/>
    </xf>
    <xf numFmtId="8" fontId="26" fillId="24" borderId="0" xfId="37" applyNumberFormat="1" applyFont="1" applyFill="1" applyAlignment="1" applyProtection="1">
      <alignment horizontal="left" vertical="center"/>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0" fontId="35" fillId="35" borderId="0" xfId="37" applyFont="1" applyFill="1" applyAlignment="1" applyProtection="1">
      <alignment horizontal="left" vertical="center"/>
      <protection locked="0"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36" fillId="24" borderId="0" xfId="0" applyNumberFormat="1" applyFont="1" applyFill="1" applyBorder="1" applyAlignment="1" applyProtection="1">
      <alignment horizontal="righ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32" borderId="0" xfId="36" applyFont="1" applyFill="1" applyBorder="1" applyAlignment="1" applyProtection="1">
      <alignment horizontal="left" vertical="center" wrapText="1"/>
      <protection hidden="1"/>
    </xf>
    <xf numFmtId="0" fontId="58" fillId="32" borderId="0" xfId="36" applyFont="1" applyFill="1" applyBorder="1" applyAlignment="1" applyProtection="1">
      <alignment horizontal="left" vertical="center" wrapText="1"/>
      <protection hidden="1"/>
    </xf>
    <xf numFmtId="0" fontId="61" fillId="32" borderId="0" xfId="36" applyFont="1" applyFill="1" applyBorder="1" applyAlignment="1" applyProtection="1">
      <alignment horizontal="left" vertical="center" wrapText="1"/>
      <protection hidden="1"/>
    </xf>
    <xf numFmtId="14" fontId="3" fillId="24" borderId="0" xfId="36" applyNumberFormat="1" applyFont="1" applyFill="1" applyBorder="1" applyAlignment="1" applyProtection="1">
      <alignment horizontal="center" vertical="center"/>
      <protection hidden="1"/>
    </xf>
    <xf numFmtId="0" fontId="45" fillId="34" borderId="0" xfId="0" applyFont="1" applyFill="1" applyAlignment="1" applyProtection="1">
      <alignment horizontal="left" vertical="center"/>
      <protection hidden="1"/>
    </xf>
    <xf numFmtId="0" fontId="47" fillId="32" borderId="0" xfId="0" applyFont="1" applyFill="1" applyAlignment="1" applyProtection="1">
      <alignment horizontal="left" vertical="top" wrapText="1"/>
      <protection hidden="1"/>
    </xf>
    <xf numFmtId="0" fontId="47" fillId="32" borderId="0" xfId="40" applyFont="1" applyFill="1" applyAlignment="1" applyProtection="1">
      <alignment horizontal="left" vertical="center" wrapText="1"/>
      <protection hidden="1"/>
    </xf>
    <xf numFmtId="0" fontId="47" fillId="32" borderId="0" xfId="40" applyFont="1" applyFill="1" applyAlignment="1" applyProtection="1">
      <alignment horizontal="left" vertical="top" wrapText="1"/>
      <protection hidden="1"/>
    </xf>
    <xf numFmtId="0" fontId="71" fillId="32" borderId="0" xfId="40" applyFont="1" applyFill="1" applyAlignment="1" applyProtection="1">
      <alignment horizontal="left" vertical="center" wrapText="1"/>
      <protection hidden="1"/>
    </xf>
    <xf numFmtId="0" fontId="47" fillId="32" borderId="0" xfId="40" applyFont="1" applyFill="1" applyBorder="1" applyAlignment="1" applyProtection="1">
      <alignment horizontal="left" vertical="top" wrapText="1"/>
      <protection hidden="1"/>
    </xf>
    <xf numFmtId="8" fontId="5" fillId="30" borderId="0" xfId="40" applyNumberFormat="1" applyFont="1" applyFill="1" applyBorder="1" applyAlignment="1" applyProtection="1">
      <alignment horizontal="right" vertical="center"/>
      <protection locked="0" hidden="1"/>
    </xf>
    <xf numFmtId="8" fontId="3" fillId="24" borderId="0" xfId="40" applyNumberFormat="1" applyFont="1" applyFill="1" applyBorder="1" applyAlignment="1" applyProtection="1">
      <alignment horizontal="right" vertical="center"/>
      <protection hidden="1"/>
    </xf>
    <xf numFmtId="0" fontId="45" fillId="33" borderId="0" xfId="0" applyFont="1" applyFill="1" applyAlignment="1" applyProtection="1">
      <alignment horizontal="left" vertical="center"/>
      <protection hidden="1"/>
    </xf>
    <xf numFmtId="0" fontId="2" fillId="24" borderId="24" xfId="40" applyFont="1" applyFill="1" applyBorder="1" applyAlignment="1" applyProtection="1">
      <alignment horizontal="left" vertical="center"/>
      <protection hidden="1"/>
    </xf>
    <xf numFmtId="0" fontId="39" fillId="24" borderId="25" xfId="40" applyFont="1" applyFill="1" applyBorder="1" applyAlignment="1" applyProtection="1">
      <alignment horizontal="left" vertical="center"/>
      <protection hidden="1"/>
    </xf>
    <xf numFmtId="0" fontId="39" fillId="24" borderId="31" xfId="40" applyFont="1" applyFill="1" applyBorder="1" applyAlignment="1" applyProtection="1">
      <alignment horizontal="left" vertical="center"/>
      <protection hidden="1"/>
    </xf>
    <xf numFmtId="0" fontId="4" fillId="24" borderId="0" xfId="0" applyFont="1" applyFill="1" applyAlignment="1" applyProtection="1">
      <alignment horizontal="left" vertical="center"/>
      <protection hidden="1"/>
    </xf>
    <xf numFmtId="0" fontId="26" fillId="30" borderId="0" xfId="0" applyFont="1" applyFill="1" applyAlignment="1" applyProtection="1">
      <alignment horizontal="left" vertical="center"/>
      <protection locked="0" hidden="1"/>
    </xf>
    <xf numFmtId="8" fontId="5" fillId="30" borderId="10" xfId="40" applyNumberFormat="1" applyFont="1" applyFill="1" applyBorder="1" applyAlignment="1" applyProtection="1">
      <alignment horizontal="right" vertical="center"/>
      <protection locked="0" hidden="1"/>
    </xf>
    <xf numFmtId="44" fontId="5" fillId="30" borderId="10" xfId="40" applyNumberFormat="1" applyFont="1" applyFill="1" applyBorder="1" applyAlignment="1" applyProtection="1">
      <alignment horizontal="right" vertical="center"/>
      <protection hidden="1"/>
    </xf>
    <xf numFmtId="8" fontId="5" fillId="30" borderId="10" xfId="40" applyNumberFormat="1" applyFont="1" applyFill="1" applyBorder="1" applyAlignment="1" applyProtection="1">
      <alignment horizontal="right" vertical="center"/>
      <protection hidden="1"/>
    </xf>
    <xf numFmtId="0" fontId="68" fillId="24" borderId="0" xfId="40" applyFont="1" applyFill="1" applyBorder="1" applyAlignment="1" applyProtection="1">
      <alignment horizontal="left" vertical="center" wrapText="1"/>
      <protection hidden="1"/>
    </xf>
    <xf numFmtId="0" fontId="68" fillId="24" borderId="34" xfId="40" applyFont="1" applyFill="1" applyBorder="1" applyAlignment="1" applyProtection="1">
      <alignment horizontal="left" vertical="center" wrapText="1"/>
      <protection hidden="1"/>
    </xf>
    <xf numFmtId="8" fontId="4" fillId="24" borderId="0" xfId="40" applyNumberFormat="1" applyFont="1" applyFill="1" applyBorder="1" applyAlignment="1" applyProtection="1">
      <alignment horizontal="right" vertical="center"/>
      <protection hidden="1"/>
    </xf>
    <xf numFmtId="8" fontId="4" fillId="24" borderId="37" xfId="40" applyNumberFormat="1" applyFont="1" applyFill="1" applyBorder="1" applyAlignment="1" applyProtection="1">
      <alignment horizontal="right" vertical="center"/>
      <protection hidden="1"/>
    </xf>
    <xf numFmtId="8" fontId="4" fillId="24" borderId="38" xfId="40" applyNumberFormat="1" applyFont="1" applyFill="1" applyBorder="1" applyAlignment="1" applyProtection="1">
      <alignment horizontal="right" vertical="center"/>
      <protection hidden="1"/>
    </xf>
    <xf numFmtId="0" fontId="39" fillId="24" borderId="30" xfId="40" applyFont="1" applyFill="1" applyBorder="1" applyAlignment="1" applyProtection="1">
      <alignment horizontal="right" vertical="center"/>
      <protection hidden="1"/>
    </xf>
    <xf numFmtId="0" fontId="0" fillId="0" borderId="25" xfId="0" applyBorder="1" applyProtection="1">
      <protection hidden="1"/>
    </xf>
    <xf numFmtId="0" fontId="59" fillId="30" borderId="37" xfId="40" applyFont="1" applyFill="1" applyBorder="1" applyAlignment="1" applyProtection="1">
      <alignment horizontal="left" vertical="center"/>
      <protection locked="0" hidden="1"/>
    </xf>
    <xf numFmtId="0" fontId="59" fillId="30" borderId="38" xfId="40" applyFont="1" applyFill="1" applyBorder="1" applyAlignment="1" applyProtection="1">
      <alignment horizontal="left" vertical="center"/>
      <protection locked="0" hidden="1"/>
    </xf>
    <xf numFmtId="167" fontId="4" fillId="24" borderId="42" xfId="40" applyNumberFormat="1" applyFont="1" applyFill="1" applyBorder="1" applyAlignment="1" applyProtection="1">
      <alignment horizontal="center" vertical="center"/>
      <protection hidden="1"/>
    </xf>
    <xf numFmtId="167" fontId="4" fillId="24" borderId="43" xfId="40" applyNumberFormat="1" applyFont="1" applyFill="1" applyBorder="1" applyAlignment="1" applyProtection="1">
      <alignment horizontal="center" vertical="center"/>
      <protection hidden="1"/>
    </xf>
    <xf numFmtId="167" fontId="4" fillId="24" borderId="14" xfId="40" applyNumberFormat="1" applyFont="1" applyFill="1" applyBorder="1" applyAlignment="1" applyProtection="1">
      <alignment vertical="center"/>
      <protection hidden="1"/>
    </xf>
    <xf numFmtId="167" fontId="4" fillId="24" borderId="1" xfId="40" applyNumberFormat="1" applyFont="1" applyFill="1" applyBorder="1" applyAlignment="1" applyProtection="1">
      <alignment vertical="center"/>
      <protection hidden="1"/>
    </xf>
    <xf numFmtId="167" fontId="5" fillId="30" borderId="1" xfId="40" applyNumberFormat="1" applyFont="1" applyFill="1" applyBorder="1" applyAlignment="1" applyProtection="1">
      <alignment horizontal="center" vertical="center"/>
      <protection locked="0" hidden="1"/>
    </xf>
    <xf numFmtId="166" fontId="5" fillId="30" borderId="27" xfId="40" applyNumberFormat="1" applyFont="1" applyFill="1" applyBorder="1" applyAlignment="1" applyProtection="1">
      <alignment horizontal="center" vertical="center"/>
      <protection locked="0" hidden="1"/>
    </xf>
    <xf numFmtId="166" fontId="5" fillId="30" borderId="28" xfId="40" applyNumberFormat="1" applyFont="1" applyFill="1" applyBorder="1" applyAlignment="1" applyProtection="1">
      <alignment horizontal="center" vertical="center"/>
      <protection locked="0" hidden="1"/>
    </xf>
    <xf numFmtId="167" fontId="4" fillId="24" borderId="39" xfId="40" applyNumberFormat="1" applyFont="1" applyFill="1" applyBorder="1" applyAlignment="1" applyProtection="1">
      <alignment horizontal="center" vertical="center"/>
      <protection hidden="1"/>
    </xf>
    <xf numFmtId="167" fontId="4" fillId="24" borderId="40" xfId="40" applyNumberFormat="1" applyFont="1" applyFill="1" applyBorder="1" applyAlignment="1" applyProtection="1">
      <alignment horizontal="center" vertical="center"/>
      <protection hidden="1"/>
    </xf>
    <xf numFmtId="0" fontId="39" fillId="24" borderId="26" xfId="40" applyFont="1" applyFill="1" applyBorder="1" applyAlignment="1" applyProtection="1">
      <alignment horizontal="center" vertical="center"/>
      <protection hidden="1"/>
    </xf>
    <xf numFmtId="0" fontId="39" fillId="24" borderId="0" xfId="40" applyFont="1" applyFill="1" applyBorder="1" applyAlignment="1" applyProtection="1">
      <alignment horizontal="center" vertical="center"/>
      <protection hidden="1"/>
    </xf>
    <xf numFmtId="0" fontId="39" fillId="24" borderId="13" xfId="40" applyFont="1" applyFill="1" applyBorder="1" applyAlignment="1" applyProtection="1">
      <alignment horizontal="center" vertical="center"/>
      <protection hidden="1"/>
    </xf>
    <xf numFmtId="0" fontId="39" fillId="24" borderId="19" xfId="40" applyFont="1" applyFill="1" applyBorder="1" applyAlignment="1" applyProtection="1">
      <alignment horizontal="center" vertical="center"/>
      <protection hidden="1"/>
    </xf>
    <xf numFmtId="0" fontId="39" fillId="24" borderId="13" xfId="40" applyFont="1" applyFill="1" applyBorder="1" applyAlignment="1" applyProtection="1">
      <alignment horizontal="left" vertical="center"/>
      <protection hidden="1"/>
    </xf>
    <xf numFmtId="0" fontId="39" fillId="24" borderId="10" xfId="40" applyFont="1" applyFill="1" applyBorder="1" applyAlignment="1" applyProtection="1">
      <alignment horizontal="left" vertical="center"/>
      <protection hidden="1"/>
    </xf>
    <xf numFmtId="0" fontId="39" fillId="24" borderId="32" xfId="40" applyFont="1" applyFill="1" applyBorder="1" applyAlignment="1" applyProtection="1">
      <alignment horizontal="left" vertical="center"/>
      <protection hidden="1"/>
    </xf>
    <xf numFmtId="167" fontId="5" fillId="30" borderId="41" xfId="40" applyNumberFormat="1" applyFont="1" applyFill="1" applyBorder="1" applyAlignment="1" applyProtection="1">
      <alignment horizontal="center" vertical="center"/>
      <protection locked="0" hidden="1"/>
    </xf>
    <xf numFmtId="0" fontId="39" fillId="24" borderId="10" xfId="40" applyFont="1" applyFill="1" applyBorder="1" applyAlignment="1" applyProtection="1">
      <alignment horizontal="center" vertical="center"/>
      <protection hidden="1"/>
    </xf>
    <xf numFmtId="0" fontId="39" fillId="24" borderId="30" xfId="40" applyFont="1" applyFill="1" applyBorder="1" applyAlignment="1" applyProtection="1">
      <alignment horizontal="center" vertical="center"/>
      <protection hidden="1"/>
    </xf>
    <xf numFmtId="0" fontId="39" fillId="24" borderId="31" xfId="40" applyFont="1" applyFill="1" applyBorder="1" applyAlignment="1" applyProtection="1">
      <alignment horizontal="center" vertical="center"/>
      <protection hidden="1"/>
    </xf>
    <xf numFmtId="0" fontId="39" fillId="24" borderId="24" xfId="40" applyFont="1" applyFill="1" applyBorder="1" applyAlignment="1" applyProtection="1">
      <alignment horizontal="left" vertical="center"/>
      <protection hidden="1"/>
    </xf>
    <xf numFmtId="0" fontId="39" fillId="24" borderId="26" xfId="40" applyFont="1" applyFill="1" applyBorder="1" applyAlignment="1" applyProtection="1">
      <alignment horizontal="left" vertical="center"/>
      <protection hidden="1"/>
    </xf>
    <xf numFmtId="0" fontId="39" fillId="24" borderId="0" xfId="40" applyFont="1" applyFill="1" applyBorder="1" applyAlignment="1" applyProtection="1">
      <alignment horizontal="left" vertical="center"/>
      <protection hidden="1"/>
    </xf>
    <xf numFmtId="0" fontId="39" fillId="24" borderId="24" xfId="40" applyFont="1" applyFill="1" applyBorder="1" applyAlignment="1" applyProtection="1">
      <alignment horizontal="center" vertical="center"/>
      <protection hidden="1"/>
    </xf>
    <xf numFmtId="0" fontId="39" fillId="24" borderId="17" xfId="40" applyFont="1" applyFill="1" applyBorder="1" applyAlignment="1" applyProtection="1">
      <alignment horizontal="center" vertical="center"/>
      <protection hidden="1"/>
    </xf>
    <xf numFmtId="0" fontId="39" fillId="24" borderId="18" xfId="40" applyFont="1" applyFill="1" applyBorder="1" applyAlignment="1" applyProtection="1">
      <alignment horizontal="center" vertical="center"/>
      <protection hidden="1"/>
    </xf>
    <xf numFmtId="0" fontId="39" fillId="24" borderId="25" xfId="40" applyFont="1" applyFill="1" applyBorder="1" applyAlignment="1" applyProtection="1">
      <alignment horizontal="center" vertical="center"/>
      <protection hidden="1"/>
    </xf>
    <xf numFmtId="0" fontId="39" fillId="24" borderId="33" xfId="40" applyFont="1" applyFill="1" applyBorder="1" applyAlignment="1" applyProtection="1">
      <alignment horizontal="center" vertical="center"/>
      <protection hidden="1"/>
    </xf>
    <xf numFmtId="0" fontId="39" fillId="24" borderId="32" xfId="40" applyFont="1" applyFill="1" applyBorder="1" applyAlignment="1" applyProtection="1">
      <alignment horizontal="center" vertical="center"/>
      <protection hidden="1"/>
    </xf>
    <xf numFmtId="0" fontId="2" fillId="0" borderId="35" xfId="40" applyFont="1" applyFill="1" applyBorder="1" applyAlignment="1" applyProtection="1">
      <alignment horizontal="left" vertical="center"/>
      <protection locked="0"/>
    </xf>
    <xf numFmtId="0" fontId="39" fillId="0" borderId="36" xfId="40" applyFont="1" applyFill="1" applyBorder="1" applyAlignment="1" applyProtection="1">
      <alignment horizontal="left" vertical="center"/>
      <protection locked="0"/>
    </xf>
    <xf numFmtId="167" fontId="4" fillId="24" borderId="36" xfId="40" applyNumberFormat="1" applyFont="1" applyFill="1" applyBorder="1" applyAlignment="1" applyProtection="1">
      <alignment vertical="center"/>
      <protection hidden="1"/>
    </xf>
    <xf numFmtId="167" fontId="4" fillId="24" borderId="16" xfId="40" applyNumberFormat="1" applyFont="1" applyFill="1" applyBorder="1" applyAlignment="1" applyProtection="1">
      <alignment vertical="center"/>
      <protection hidden="1"/>
    </xf>
    <xf numFmtId="0" fontId="39" fillId="24" borderId="34" xfId="40" applyFont="1" applyFill="1" applyBorder="1" applyAlignment="1" applyProtection="1">
      <alignment horizontal="center" vertical="center"/>
      <protection hidden="1"/>
    </xf>
    <xf numFmtId="0" fontId="39" fillId="24" borderId="29" xfId="40" applyFont="1" applyFill="1" applyBorder="1" applyAlignment="1" applyProtection="1">
      <alignment horizontal="center" vertical="center"/>
      <protection hidden="1"/>
    </xf>
    <xf numFmtId="14" fontId="51" fillId="30" borderId="0" xfId="0" applyNumberFormat="1" applyFont="1" applyFill="1" applyAlignment="1" applyProtection="1">
      <alignment horizontal="center" vertical="center"/>
      <protection locked="0" hidden="1"/>
    </xf>
    <xf numFmtId="8" fontId="4" fillId="24" borderId="0" xfId="40" applyNumberFormat="1" applyFont="1" applyFill="1" applyAlignment="1" applyProtection="1">
      <alignment horizontal="left" vertical="center"/>
      <protection hidden="1"/>
    </xf>
    <xf numFmtId="0" fontId="4" fillId="24" borderId="0" xfId="40" applyFont="1" applyFill="1" applyAlignment="1" applyProtection="1">
      <alignment horizontal="right" vertical="center"/>
      <protection hidden="1"/>
    </xf>
    <xf numFmtId="0" fontId="39" fillId="24" borderId="34" xfId="40" applyFont="1" applyFill="1" applyBorder="1" applyAlignment="1" applyProtection="1">
      <alignment horizontal="right" vertical="center"/>
      <protection hidden="1"/>
    </xf>
    <xf numFmtId="0" fontId="0" fillId="0" borderId="0" xfId="0" applyProtection="1">
      <protection hidden="1"/>
    </xf>
    <xf numFmtId="8" fontId="3" fillId="24" borderId="35" xfId="40" applyNumberFormat="1" applyFont="1" applyFill="1" applyBorder="1" applyAlignment="1" applyProtection="1">
      <alignment horizontal="right" vertical="center"/>
      <protection hidden="1"/>
    </xf>
    <xf numFmtId="8" fontId="3" fillId="24" borderId="36" xfId="40" applyNumberFormat="1" applyFont="1" applyFill="1" applyBorder="1" applyAlignment="1" applyProtection="1">
      <alignment horizontal="right" vertical="center"/>
      <protection hidden="1"/>
    </xf>
    <xf numFmtId="0" fontId="39" fillId="24" borderId="33" xfId="40" applyFont="1" applyFill="1" applyBorder="1" applyAlignment="1" applyProtection="1">
      <alignment horizontal="right" vertical="center"/>
      <protection hidden="1"/>
    </xf>
    <xf numFmtId="0" fontId="0" fillId="0" borderId="10" xfId="0" applyBorder="1" applyProtection="1">
      <protection hidden="1"/>
    </xf>
    <xf numFmtId="8" fontId="4" fillId="24" borderId="10" xfId="40" applyNumberFormat="1" applyFont="1" applyFill="1" applyBorder="1" applyAlignment="1" applyProtection="1">
      <alignment horizontal="right" vertical="center"/>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61" fillId="32" borderId="0" xfId="0" applyFont="1" applyFill="1" applyAlignment="1" applyProtection="1">
      <alignment horizontal="left" vertical="center" wrapText="1"/>
      <protection hidden="1"/>
    </xf>
    <xf numFmtId="0" fontId="59" fillId="30" borderId="27" xfId="40" applyFont="1" applyFill="1" applyBorder="1" applyAlignment="1" applyProtection="1">
      <alignment horizontal="left" vertical="center"/>
      <protection locked="0" hidden="1"/>
    </xf>
    <xf numFmtId="0" fontId="59" fillId="30" borderId="28" xfId="40" applyFont="1" applyFill="1" applyBorder="1" applyAlignment="1" applyProtection="1">
      <alignment horizontal="left" vertical="center"/>
      <protection locked="0" hidden="1"/>
    </xf>
    <xf numFmtId="0" fontId="59" fillId="30" borderId="20" xfId="40" applyFont="1" applyFill="1" applyBorder="1" applyAlignment="1" applyProtection="1">
      <alignment horizontal="left" vertical="center"/>
      <protection locked="0" hidden="1"/>
    </xf>
    <xf numFmtId="8" fontId="5" fillId="30" borderId="27" xfId="40" applyNumberFormat="1" applyFont="1" applyFill="1" applyBorder="1" applyAlignment="1" applyProtection="1">
      <alignment horizontal="center" vertical="center"/>
      <protection locked="0" hidden="1"/>
    </xf>
    <xf numFmtId="8" fontId="5" fillId="30" borderId="20" xfId="40" applyNumberFormat="1" applyFont="1" applyFill="1" applyBorder="1" applyAlignment="1" applyProtection="1">
      <alignment horizontal="center" vertical="center"/>
      <protection locked="0" hidden="1"/>
    </xf>
    <xf numFmtId="0" fontId="4" fillId="24" borderId="26" xfId="40" applyFont="1" applyFill="1" applyBorder="1" applyAlignment="1" applyProtection="1">
      <alignment horizontal="right" vertical="center"/>
      <protection hidden="1"/>
    </xf>
    <xf numFmtId="0" fontId="4" fillId="24" borderId="0" xfId="40" applyFont="1" applyFill="1" applyBorder="1" applyAlignment="1" applyProtection="1">
      <alignment horizontal="right" vertical="center"/>
      <protection hidden="1"/>
    </xf>
    <xf numFmtId="8" fontId="4" fillId="24" borderId="27" xfId="40" applyNumberFormat="1" applyFont="1" applyFill="1" applyBorder="1" applyAlignment="1" applyProtection="1">
      <alignment horizontal="right" vertical="center"/>
      <protection hidden="1"/>
    </xf>
    <xf numFmtId="8" fontId="4" fillId="24" borderId="28" xfId="40" applyNumberFormat="1" applyFont="1" applyFill="1" applyBorder="1" applyAlignment="1" applyProtection="1">
      <alignment horizontal="right" vertical="center"/>
      <protection hidden="1"/>
    </xf>
    <xf numFmtId="0" fontId="2" fillId="24" borderId="12" xfId="40" applyFont="1" applyFill="1" applyBorder="1" applyAlignment="1" applyProtection="1">
      <alignment horizontal="left" vertical="top"/>
      <protection hidden="1"/>
    </xf>
    <xf numFmtId="0" fontId="2" fillId="24" borderId="12" xfId="40" applyFont="1" applyFill="1" applyBorder="1" applyAlignment="1" applyProtection="1">
      <alignment horizontal="center" vertical="top" wrapText="1"/>
      <protection hidden="1"/>
    </xf>
    <xf numFmtId="166" fontId="4" fillId="0" borderId="33" xfId="40" applyNumberFormat="1" applyFont="1" applyFill="1" applyBorder="1" applyAlignment="1" applyProtection="1">
      <alignment horizontal="center" vertical="center"/>
      <protection locked="0"/>
    </xf>
    <xf numFmtId="166" fontId="4" fillId="0" borderId="19" xfId="40" applyNumberFormat="1" applyFont="1" applyFill="1" applyBorder="1" applyAlignment="1" applyProtection="1">
      <alignment horizontal="center" vertical="center"/>
      <protection locked="0"/>
    </xf>
    <xf numFmtId="0" fontId="2" fillId="24" borderId="26" xfId="40" applyFont="1" applyFill="1" applyBorder="1" applyAlignment="1" applyProtection="1">
      <alignment horizontal="left" vertical="center"/>
      <protection hidden="1"/>
    </xf>
    <xf numFmtId="0" fontId="39" fillId="24" borderId="29" xfId="40" applyFont="1" applyFill="1" applyBorder="1" applyAlignment="1" applyProtection="1">
      <alignment horizontal="left" vertical="center"/>
      <protection hidden="1"/>
    </xf>
    <xf numFmtId="0" fontId="2" fillId="24" borderId="24" xfId="40" applyFont="1" applyFill="1" applyBorder="1" applyAlignment="1" applyProtection="1">
      <alignment horizontal="left" vertical="top" wrapText="1"/>
      <protection hidden="1"/>
    </xf>
    <xf numFmtId="0" fontId="2" fillId="24" borderId="25" xfId="40" applyFont="1" applyFill="1" applyBorder="1" applyAlignment="1" applyProtection="1">
      <alignment horizontal="left" vertical="top" wrapText="1"/>
      <protection hidden="1"/>
    </xf>
    <xf numFmtId="0" fontId="2" fillId="24" borderId="17" xfId="40" applyFont="1" applyFill="1" applyBorder="1" applyAlignment="1" applyProtection="1">
      <alignment horizontal="left" vertical="top" wrapText="1"/>
      <protection hidden="1"/>
    </xf>
    <xf numFmtId="0" fontId="2" fillId="24" borderId="26" xfId="40" applyFont="1" applyFill="1" applyBorder="1" applyAlignment="1" applyProtection="1">
      <alignment horizontal="left" vertical="top" wrapText="1"/>
      <protection hidden="1"/>
    </xf>
    <xf numFmtId="0" fontId="2" fillId="24" borderId="0" xfId="40" applyFont="1" applyFill="1" applyBorder="1" applyAlignment="1" applyProtection="1">
      <alignment horizontal="left" vertical="top" wrapText="1"/>
      <protection hidden="1"/>
    </xf>
    <xf numFmtId="0" fontId="2" fillId="24" borderId="18" xfId="40" applyFont="1" applyFill="1" applyBorder="1" applyAlignment="1" applyProtection="1">
      <alignment horizontal="left" vertical="top" wrapText="1"/>
      <protection hidden="1"/>
    </xf>
    <xf numFmtId="0" fontId="2" fillId="24" borderId="13" xfId="40" applyFont="1" applyFill="1" applyBorder="1" applyAlignment="1" applyProtection="1">
      <alignment horizontal="left" vertical="top" wrapText="1"/>
      <protection hidden="1"/>
    </xf>
    <xf numFmtId="0" fontId="2" fillId="24" borderId="10" xfId="40" applyFont="1" applyFill="1" applyBorder="1" applyAlignment="1" applyProtection="1">
      <alignment horizontal="left" vertical="top" wrapText="1"/>
      <protection hidden="1"/>
    </xf>
    <xf numFmtId="0" fontId="2" fillId="24" borderId="19" xfId="40" applyFont="1" applyFill="1" applyBorder="1" applyAlignment="1" applyProtection="1">
      <alignment horizontal="left" vertical="top" wrapText="1"/>
      <protection hidden="1"/>
    </xf>
    <xf numFmtId="0" fontId="59" fillId="30" borderId="12" xfId="40" applyFont="1" applyFill="1" applyBorder="1" applyAlignment="1" applyProtection="1">
      <alignment horizontal="left" vertical="center"/>
      <protection locked="0" hidden="1"/>
    </xf>
    <xf numFmtId="166" fontId="5" fillId="30" borderId="12" xfId="40" applyNumberFormat="1" applyFont="1" applyFill="1" applyBorder="1" applyAlignment="1" applyProtection="1">
      <alignment horizontal="center" vertical="center"/>
      <protection locked="0" hidden="1"/>
    </xf>
    <xf numFmtId="167" fontId="4" fillId="24" borderId="12" xfId="40" applyNumberFormat="1" applyFont="1" applyFill="1" applyBorder="1" applyAlignment="1" applyProtection="1">
      <alignment horizontal="center" vertical="center"/>
      <protection hidden="1"/>
    </xf>
    <xf numFmtId="4" fontId="2" fillId="24" borderId="12" xfId="40" applyNumberFormat="1" applyFont="1" applyFill="1" applyBorder="1" applyAlignment="1" applyProtection="1">
      <alignment vertical="center"/>
      <protection hidden="1"/>
    </xf>
    <xf numFmtId="167" fontId="5" fillId="30" borderId="12" xfId="40" applyNumberFormat="1" applyFont="1" applyFill="1" applyBorder="1" applyAlignment="1" applyProtection="1">
      <alignment horizontal="center" vertical="center"/>
      <protection locked="0" hidden="1"/>
    </xf>
    <xf numFmtId="44" fontId="4" fillId="24" borderId="0" xfId="40" applyNumberFormat="1" applyFont="1" applyFill="1" applyAlignment="1" applyProtection="1">
      <alignment horizontal="left" vertical="center"/>
      <protection hidden="1"/>
    </xf>
    <xf numFmtId="0" fontId="2" fillId="30" borderId="27" xfId="40" applyFont="1" applyFill="1" applyBorder="1" applyAlignment="1" applyProtection="1">
      <alignment horizontal="left" vertical="center"/>
      <protection hidden="1"/>
    </xf>
    <xf numFmtId="0" fontId="2" fillId="30" borderId="28" xfId="40" applyFont="1" applyFill="1" applyBorder="1" applyAlignment="1" applyProtection="1">
      <alignment horizontal="left" vertical="center"/>
      <protection hidden="1"/>
    </xf>
    <xf numFmtId="0" fontId="2" fillId="30" borderId="20" xfId="40" applyFont="1" applyFill="1" applyBorder="1" applyAlignment="1" applyProtection="1">
      <alignment horizontal="left" vertical="center"/>
      <protection hidden="1"/>
    </xf>
    <xf numFmtId="0" fontId="2" fillId="24" borderId="24" xfId="40" applyFont="1" applyFill="1" applyBorder="1" applyAlignment="1" applyProtection="1">
      <alignment horizontal="left" vertical="top"/>
      <protection hidden="1"/>
    </xf>
    <xf numFmtId="0" fontId="2" fillId="24" borderId="25" xfId="40" applyFont="1" applyFill="1" applyBorder="1" applyAlignment="1" applyProtection="1">
      <alignment horizontal="left" vertical="top"/>
      <protection hidden="1"/>
    </xf>
    <xf numFmtId="0" fontId="2" fillId="24" borderId="17" xfId="40" applyFont="1" applyFill="1" applyBorder="1" applyAlignment="1" applyProtection="1">
      <alignment horizontal="left" vertical="top"/>
      <protection hidden="1"/>
    </xf>
    <xf numFmtId="0" fontId="2" fillId="24" borderId="26" xfId="40" applyFont="1" applyFill="1" applyBorder="1" applyAlignment="1" applyProtection="1">
      <alignment horizontal="left" vertical="top"/>
      <protection hidden="1"/>
    </xf>
    <xf numFmtId="0" fontId="2" fillId="24" borderId="0" xfId="40" applyFont="1" applyFill="1" applyBorder="1" applyAlignment="1" applyProtection="1">
      <alignment horizontal="left" vertical="top"/>
      <protection hidden="1"/>
    </xf>
    <xf numFmtId="0" fontId="2" fillId="24" borderId="18" xfId="40" applyFont="1" applyFill="1" applyBorder="1" applyAlignment="1" applyProtection="1">
      <alignment horizontal="left" vertical="top"/>
      <protection hidden="1"/>
    </xf>
    <xf numFmtId="0" fontId="2" fillId="24" borderId="13" xfId="40" applyFont="1" applyFill="1" applyBorder="1" applyAlignment="1" applyProtection="1">
      <alignment horizontal="left" vertical="top"/>
      <protection hidden="1"/>
    </xf>
    <xf numFmtId="0" fontId="2" fillId="24" borderId="10" xfId="40" applyFont="1" applyFill="1" applyBorder="1" applyAlignment="1" applyProtection="1">
      <alignment horizontal="left" vertical="top"/>
      <protection hidden="1"/>
    </xf>
    <xf numFmtId="0" fontId="2" fillId="24" borderId="19" xfId="40" applyFont="1" applyFill="1" applyBorder="1" applyAlignment="1" applyProtection="1">
      <alignment horizontal="left" vertical="top"/>
      <protection hidden="1"/>
    </xf>
    <xf numFmtId="0" fontId="2" fillId="24" borderId="12" xfId="40" applyFont="1" applyFill="1" applyBorder="1" applyAlignment="1" applyProtection="1">
      <alignment horizontal="left" vertical="top" wrapText="1"/>
      <protection hidden="1"/>
    </xf>
    <xf numFmtId="0" fontId="2" fillId="24" borderId="24" xfId="40" applyFont="1" applyFill="1" applyBorder="1" applyAlignment="1" applyProtection="1">
      <alignment horizontal="right" vertical="top" wrapText="1"/>
      <protection hidden="1"/>
    </xf>
    <xf numFmtId="0" fontId="2" fillId="24" borderId="25" xfId="40" applyFont="1" applyFill="1" applyBorder="1" applyAlignment="1" applyProtection="1">
      <alignment horizontal="right" vertical="top" wrapText="1"/>
      <protection hidden="1"/>
    </xf>
    <xf numFmtId="0" fontId="2" fillId="24" borderId="26" xfId="40" applyFont="1" applyFill="1" applyBorder="1" applyAlignment="1" applyProtection="1">
      <alignment horizontal="right" vertical="top" wrapText="1"/>
      <protection hidden="1"/>
    </xf>
    <xf numFmtId="0" fontId="2" fillId="24" borderId="0" xfId="40" applyFont="1" applyFill="1" applyBorder="1" applyAlignment="1" applyProtection="1">
      <alignment horizontal="right" vertical="top" wrapText="1"/>
      <protection hidden="1"/>
    </xf>
    <xf numFmtId="0" fontId="2" fillId="24" borderId="13" xfId="40" applyFont="1" applyFill="1" applyBorder="1" applyAlignment="1" applyProtection="1">
      <alignment horizontal="right" vertical="top" wrapText="1"/>
      <protection hidden="1"/>
    </xf>
    <xf numFmtId="0" fontId="2" fillId="24" borderId="10" xfId="40" applyFont="1" applyFill="1" applyBorder="1" applyAlignment="1" applyProtection="1">
      <alignment horizontal="right" vertical="top" wrapText="1"/>
      <protection hidden="1"/>
    </xf>
    <xf numFmtId="0" fontId="76" fillId="24" borderId="0" xfId="0" applyFont="1" applyFill="1" applyAlignment="1" applyProtection="1">
      <alignment horizontal="left" vertical="top" wrapText="1"/>
      <protection hidden="1"/>
    </xf>
    <xf numFmtId="8" fontId="38" fillId="24" borderId="27" xfId="41" applyNumberFormat="1" applyFont="1" applyFill="1" applyBorder="1" applyAlignment="1" applyProtection="1">
      <alignment horizontal="center" vertical="center"/>
      <protection hidden="1"/>
    </xf>
    <xf numFmtId="8" fontId="38" fillId="24" borderId="28" xfId="41" applyNumberFormat="1" applyFont="1" applyFill="1" applyBorder="1" applyAlignment="1" applyProtection="1">
      <alignment horizontal="center" vertical="center"/>
      <protection hidden="1"/>
    </xf>
    <xf numFmtId="8" fontId="38" fillId="24" borderId="20" xfId="41" applyNumberFormat="1" applyFont="1" applyFill="1" applyBorder="1" applyAlignment="1" applyProtection="1">
      <alignment horizontal="center" vertical="center"/>
      <protection hidden="1"/>
    </xf>
  </cellXfs>
  <cellStyles count="5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Standard 2" xfId="36" xr:uid="{00000000-0005-0000-0000-000024000000}"/>
    <cellStyle name="Standard_Berechnung" xfId="37" xr:uid="{00000000-0005-0000-0000-000025000000}"/>
    <cellStyle name="Standard_Dropdownfelder" xfId="38" xr:uid="{00000000-0005-0000-0000-000026000000}"/>
    <cellStyle name="Standard_DTParameter" xfId="39" xr:uid="{00000000-0005-0000-0000-000027000000}"/>
    <cellStyle name="Standard_Kostenbeitragsberechnung Minderjaehrige 2013 mit UH-Nebenrechnung1" xfId="40" xr:uid="{00000000-0005-0000-0000-000028000000}"/>
    <cellStyle name="Standard_Neue Version AK Heranziehung" xfId="41" xr:uid="{00000000-0005-0000-0000-000029000000}"/>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ährung 2" xfId="48" xr:uid="{00000000-0005-0000-0000-000030000000}"/>
    <cellStyle name="Warnender Text" xfId="49" builtinId="11" customBuiltin="1"/>
    <cellStyle name="Zelle überprüfen" xfId="50" builtinId="23" customBuiltin="1"/>
  </cellStyles>
  <dxfs count="64">
    <dxf>
      <font>
        <condense val="0"/>
        <extend val="0"/>
        <color indexed="8"/>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b/>
        <i val="0"/>
        <condense val="0"/>
        <extend val="0"/>
        <color indexed="10"/>
      </font>
    </dxf>
    <dxf>
      <font>
        <condense val="0"/>
        <extend val="0"/>
        <color indexed="55"/>
      </font>
    </dxf>
    <dxf>
      <font>
        <condense val="0"/>
        <extend val="0"/>
        <color indexed="55"/>
      </font>
    </dxf>
    <dxf>
      <font>
        <condense val="0"/>
        <extend val="0"/>
        <color indexed="23"/>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color theme="0" tint="-0.499984740745262"/>
      </font>
    </dxf>
    <dxf>
      <font>
        <color theme="0" tint="-0.499984740745262"/>
      </font>
    </dxf>
    <dxf>
      <font>
        <b/>
        <i val="0"/>
        <condense val="0"/>
        <extend val="0"/>
        <color indexed="23"/>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sel="1" val="0"/>
</file>

<file path=xl/ctrlProps/ctrlProp10.xml><?xml version="1.0" encoding="utf-8"?>
<formControlPr xmlns="http://schemas.microsoft.com/office/spreadsheetml/2009/9/main" objectType="Drop" dropLines="9" dropStyle="combo" dx="22" fmlaLink="Dropdownfelder!$B$54" fmlaRange="Dropdownfelder!$B$41:$B$49" noThreeD="1" sel="1" val="0"/>
</file>

<file path=xl/ctrlProps/ctrlProp11.xml><?xml version="1.0" encoding="utf-8"?>
<formControlPr xmlns="http://schemas.microsoft.com/office/spreadsheetml/2009/9/main" objectType="Drop" dropLines="9" dropStyle="combo" dx="22" fmlaLink="Dropdownfelder!$B$55" fmlaRange="Dropdownfelder!$B$41:$B$49" noThreeD="1" sel="1" val="0"/>
</file>

<file path=xl/ctrlProps/ctrlProp12.xml><?xml version="1.0" encoding="utf-8"?>
<formControlPr xmlns="http://schemas.microsoft.com/office/spreadsheetml/2009/9/main" objectType="Drop" dropLines="9" dropStyle="combo" dx="22" fmlaLink="Dropdownfelder!$B$56" fmlaRange="Dropdownfelder!$B$41:$B$49" noThreeD="1" sel="1" val="0"/>
</file>

<file path=xl/ctrlProps/ctrlProp13.xml><?xml version="1.0" encoding="utf-8"?>
<formControlPr xmlns="http://schemas.microsoft.com/office/spreadsheetml/2009/9/main" objectType="Drop" dropLines="9" dropStyle="combo" dx="22" fmlaLink="Dropdownfelder!$B$57" fmlaRange="Dropdownfelder!$B$41:$B$49" noThreeD="1" sel="1" val="0"/>
</file>

<file path=xl/ctrlProps/ctrlProp14.xml><?xml version="1.0" encoding="utf-8"?>
<formControlPr xmlns="http://schemas.microsoft.com/office/spreadsheetml/2009/9/main" objectType="Drop" dropLines="9" dropStyle="combo" dx="22" fmlaLink="Dropdownfelder!$B$58" fmlaRange="Dropdownfelder!$B$41:$B$49" noThreeD="1" sel="1" val="0"/>
</file>

<file path=xl/ctrlProps/ctrlProp15.xml><?xml version="1.0" encoding="utf-8"?>
<formControlPr xmlns="http://schemas.microsoft.com/office/spreadsheetml/2009/9/main" objectType="Drop" dropLines="9" dropStyle="combo" dx="22" fmlaLink="Dropdownfelder!$B$59" fmlaRange="Dropdownfelder!$B$41:$B$49" noThreeD="1" sel="1" val="0"/>
</file>

<file path=xl/ctrlProps/ctrlProp16.xml><?xml version="1.0" encoding="utf-8"?>
<formControlPr xmlns="http://schemas.microsoft.com/office/spreadsheetml/2009/9/main" objectType="Drop" dropLines="9" dropStyle="combo" dx="22" fmlaLink="Dropdownfelder!$B$60" fmlaRange="Dropdownfelder!$B$41:$B$49" noThreeD="1" sel="1" val="0"/>
</file>

<file path=xl/ctrlProps/ctrlProp17.xml><?xml version="1.0" encoding="utf-8"?>
<formControlPr xmlns="http://schemas.microsoft.com/office/spreadsheetml/2009/9/main" objectType="Drop" dropLines="9" dropStyle="combo" dx="22" fmlaLink="Dropdownfelder!$B$61" fmlaRange="Dropdownfelder!$B$41:$B$49" noThreeD="1" sel="1" val="0"/>
</file>

<file path=xl/ctrlProps/ctrlProp18.xml><?xml version="1.0" encoding="utf-8"?>
<formControlPr xmlns="http://schemas.microsoft.com/office/spreadsheetml/2009/9/main" objectType="Drop" dropLines="4" dropStyle="combo" dx="22" fmlaLink="Dropdownfelder!$A$69" fmlaRange="Dropdownfelder!$B$70:$B$73" noThreeD="1" sel="1" val="0"/>
</file>

<file path=xl/ctrlProps/ctrlProp19.xml><?xml version="1.0" encoding="utf-8"?>
<formControlPr xmlns="http://schemas.microsoft.com/office/spreadsheetml/2009/9/main" objectType="Drop" dropLines="4" dropStyle="combo" dx="22" fmlaLink="Dropdownfelder!$A$75" fmlaRange="Dropdownfelder!$B$76:$B$79" noThreeD="1" sel="1" val="0"/>
</file>

<file path=xl/ctrlProps/ctrlProp2.xml><?xml version="1.0" encoding="utf-8"?>
<formControlPr xmlns="http://schemas.microsoft.com/office/spreadsheetml/2009/9/main" objectType="Drop" dropLines="5" dropStyle="combo" dx="22" fmlaLink="Dropdownfelder!$A$9" fmlaRange="Dropdownfelder!$B$10:$B$14" noThreeD="1" sel="1" val="0"/>
</file>

<file path=xl/ctrlProps/ctrlProp20.xml><?xml version="1.0" encoding="utf-8"?>
<formControlPr xmlns="http://schemas.microsoft.com/office/spreadsheetml/2009/9/main" objectType="Drop" dropLines="4" dropStyle="combo" dx="22" fmlaLink="Dropdownfelder!$A$81" fmlaRange="Dropdownfelder!$B$82:$B$85" noThreeD="1" sel="1" val="0"/>
</file>

<file path=xl/ctrlProps/ctrlProp21.xml><?xml version="1.0" encoding="utf-8"?>
<formControlPr xmlns="http://schemas.microsoft.com/office/spreadsheetml/2009/9/main" objectType="Drop" dropLines="9" dropStyle="combo" dx="22" fmlaLink="Dropdownfelder!$A$88" fmlaRange="Dropdownfelder!$B$89:$B$97" noThreeD="1" sel="1" val="0"/>
</file>

<file path=xl/ctrlProps/ctrlProp22.xml><?xml version="1.0" encoding="utf-8"?>
<formControlPr xmlns="http://schemas.microsoft.com/office/spreadsheetml/2009/9/main" objectType="Drop" dropLines="9" dropStyle="combo" dx="22" fmlaLink="Dropdownfelder!$A$100" fmlaRange="Dropdownfelder!$B$101:$B$109" noThreeD="1" sel="1" val="0"/>
</file>

<file path=xl/ctrlProps/ctrlProp23.xml><?xml version="1.0" encoding="utf-8"?>
<formControlPr xmlns="http://schemas.microsoft.com/office/spreadsheetml/2009/9/main" objectType="Drop" dropLines="9" dropStyle="combo" dx="22" fmlaLink="Dropdownfelder!$A$112" fmlaRange="Dropdownfelder!$B$113:$B$121" noThreeD="1" sel="1" val="0"/>
</file>

<file path=xl/ctrlProps/ctrlProp24.xml><?xml version="1.0" encoding="utf-8"?>
<formControlPr xmlns="http://schemas.microsoft.com/office/spreadsheetml/2009/9/main" objectType="Drop" dropLines="9" dropStyle="combo" dx="22" fmlaLink="Dropdownfelder!$A$124" fmlaRange="Dropdownfelder!$B$125:$B$133" noThreeD="1" sel="1" val="0"/>
</file>

<file path=xl/ctrlProps/ctrlProp3.xml><?xml version="1.0" encoding="utf-8"?>
<formControlPr xmlns="http://schemas.microsoft.com/office/spreadsheetml/2009/9/main" objectType="Drop" dropLines="5" dropStyle="combo" dx="22" fmlaLink="Dropdownfelder!$A$17" fmlaRange="Dropdownfelder!$B$18:$B$22" noThreeD="1" sel="1" val="0"/>
</file>

<file path=xl/ctrlProps/ctrlProp4.xml><?xml version="1.0" encoding="utf-8"?>
<formControlPr xmlns="http://schemas.microsoft.com/office/spreadsheetml/2009/9/main" objectType="Drop" dropLines="5" dropStyle="combo" dx="22" fmlaLink="Dropdownfelder!$A$25" fmlaRange="Dropdownfelder!$B$26:$B$30" noThreeD="1" sel="1" val="0"/>
</file>

<file path=xl/ctrlProps/ctrlProp5.xml><?xml version="1.0" encoding="utf-8"?>
<formControlPr xmlns="http://schemas.microsoft.com/office/spreadsheetml/2009/9/main" objectType="Drop" dropLines="3" dropStyle="combo" dx="22" fmlaLink="Dropdownfelder!$A$33" fmlaRange="Dropdownfelder!$B$34:$B$36" noThreeD="1" sel="1" val="0"/>
</file>

<file path=xl/ctrlProps/ctrlProp6.xml><?xml version="1.0" encoding="utf-8"?>
<formControlPr xmlns="http://schemas.microsoft.com/office/spreadsheetml/2009/9/main" objectType="Drop" dropLines="4" dropStyle="combo" dx="22" fmlaLink="Dropdownfelder!$A$136" fmlaRange="Dropdownfelder!$B$137:$B$140" noThreeD="1" sel="1" val="0"/>
</file>

<file path=xl/ctrlProps/ctrlProp7.xml><?xml version="1.0" encoding="utf-8"?>
<formControlPr xmlns="http://schemas.microsoft.com/office/spreadsheetml/2009/9/main" objectType="Drop" dropLines="3" dropStyle="combo" dx="22" fmlaLink="Dropdownfelder!$A$63" fmlaRange="Dropdownfelder!$B$64:$B$66" noThreeD="1" sel="1" val="0"/>
</file>

<file path=xl/ctrlProps/ctrlProp8.xml><?xml version="1.0" encoding="utf-8"?>
<formControlPr xmlns="http://schemas.microsoft.com/office/spreadsheetml/2009/9/main" objectType="Drop" dropLines="9" dropStyle="combo" dx="22" fmlaLink="Dropdownfelder!$B$52" fmlaRange="Dropdownfelder!$B$41:$B$49" noThreeD="1" sel="1" val="0"/>
</file>

<file path=xl/ctrlProps/ctrlProp9.xml><?xml version="1.0" encoding="utf-8"?>
<formControlPr xmlns="http://schemas.microsoft.com/office/spreadsheetml/2009/9/main" objectType="Drop" dropLines="9" dropStyle="combo" dx="22" fmlaLink="Dropdownfelder!$B$53" fmlaRange="Dropdownfelder!$B$41:$B$4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20</xdr:col>
          <xdr:colOff>0</xdr:colOff>
          <xdr:row>113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119</xdr:row>
          <xdr:rowOff>0</xdr:rowOff>
        </xdr:from>
        <xdr:to>
          <xdr:col>19</xdr:col>
          <xdr:colOff>0</xdr:colOff>
          <xdr:row>120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0</xdr:rowOff>
        </xdr:from>
        <xdr:to>
          <xdr:col>11</xdr:col>
          <xdr:colOff>0</xdr:colOff>
          <xdr:row>96</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0</xdr:rowOff>
        </xdr:from>
        <xdr:to>
          <xdr:col>11</xdr:col>
          <xdr:colOff>0</xdr:colOff>
          <xdr:row>97</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97</xdr:row>
          <xdr:rowOff>0</xdr:rowOff>
        </xdr:from>
        <xdr:to>
          <xdr:col>11</xdr:col>
          <xdr:colOff>0</xdr:colOff>
          <xdr:row>98</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131</xdr:row>
          <xdr:rowOff>0</xdr:rowOff>
        </xdr:from>
        <xdr:to>
          <xdr:col>11</xdr:col>
          <xdr:colOff>0</xdr:colOff>
          <xdr:row>132</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132</xdr:row>
          <xdr:rowOff>0</xdr:rowOff>
        </xdr:from>
        <xdr:to>
          <xdr:col>11</xdr:col>
          <xdr:colOff>0</xdr:colOff>
          <xdr:row>133</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133</xdr:row>
          <xdr:rowOff>0</xdr:rowOff>
        </xdr:from>
        <xdr:to>
          <xdr:col>11</xdr:col>
          <xdr:colOff>0</xdr:colOff>
          <xdr:row>134</xdr:row>
          <xdr:rowOff>0</xdr:rowOff>
        </xdr:to>
        <xdr:sp macro="" textlink="">
          <xdr:nvSpPr>
            <xdr:cNvPr id="2063" name="Drop Dow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0</xdr:rowOff>
        </xdr:from>
        <xdr:to>
          <xdr:col>11</xdr:col>
          <xdr:colOff>0</xdr:colOff>
          <xdr:row>149</xdr:row>
          <xdr:rowOff>0</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0</xdr:rowOff>
        </xdr:from>
        <xdr:to>
          <xdr:col>11</xdr:col>
          <xdr:colOff>0</xdr:colOff>
          <xdr:row>150</xdr:row>
          <xdr:rowOff>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0</xdr:rowOff>
        </xdr:from>
        <xdr:to>
          <xdr:col>11</xdr:col>
          <xdr:colOff>0</xdr:colOff>
          <xdr:row>151</xdr:row>
          <xdr:rowOff>0</xdr:rowOff>
        </xdr:to>
        <xdr:sp macro="" textlink="">
          <xdr:nvSpPr>
            <xdr:cNvPr id="2070" name="Drop Dow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151</xdr:row>
          <xdr:rowOff>0</xdr:rowOff>
        </xdr:from>
        <xdr:to>
          <xdr:col>11</xdr:col>
          <xdr:colOff>0</xdr:colOff>
          <xdr:row>152</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drawing" Target="../drawings/drawing3.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printerSettings" Target="../printerSettings/printerSettings3.bin"/><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Z130"/>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x14ac:dyDescent="0.2"/>
  <cols>
    <col min="1" max="13" width="4.7109375" style="79" customWidth="1"/>
    <col min="14" max="14" width="4.7109375" style="85" customWidth="1"/>
    <col min="15" max="23" width="4.7109375" style="79" customWidth="1"/>
    <col min="24" max="24" width="4.7109375" style="85" customWidth="1"/>
    <col min="25" max="25" width="4.7109375" style="79" customWidth="1"/>
    <col min="26" max="26" width="58.7109375" style="314" customWidth="1"/>
    <col min="27" max="16384" width="11.42578125" style="79"/>
  </cols>
  <sheetData>
    <row r="1" spans="1:26" s="100" customFormat="1" ht="21.75" customHeight="1" x14ac:dyDescent="0.2">
      <c r="A1" s="103"/>
      <c r="B1" s="50" t="s">
        <v>131</v>
      </c>
      <c r="C1" s="50"/>
      <c r="D1" s="50"/>
      <c r="E1" s="50"/>
      <c r="F1" s="50"/>
      <c r="G1" s="50"/>
      <c r="H1" s="50"/>
      <c r="I1" s="50"/>
      <c r="J1" s="50"/>
      <c r="K1" s="404" t="s">
        <v>132</v>
      </c>
      <c r="L1" s="404"/>
      <c r="M1" s="404"/>
      <c r="N1" s="404"/>
      <c r="O1" s="50"/>
      <c r="P1" s="50"/>
      <c r="Q1" s="106" t="s">
        <v>134</v>
      </c>
      <c r="R1" s="408">
        <v>42736</v>
      </c>
      <c r="S1" s="408"/>
      <c r="T1" s="50"/>
      <c r="U1" s="51" t="s">
        <v>133</v>
      </c>
      <c r="V1" s="408">
        <v>43159</v>
      </c>
      <c r="W1" s="409"/>
      <c r="X1" s="52"/>
      <c r="Y1" s="50"/>
      <c r="Z1" s="50" t="s">
        <v>206</v>
      </c>
    </row>
    <row r="2" spans="1:26" s="53" customFormat="1" ht="12" x14ac:dyDescent="0.2">
      <c r="B2" s="159" t="str">
        <f>"Kostenbeitragsberechnung "&amp;NameJM&amp;" / "&amp;NamePflichtiger&amp;" für die Zeit ab "&amp;(DAY(KBZeitraumVon)&amp;"."&amp;MONTH(KBZeitraumVon)&amp;"."&amp;YEAR(KBZeitraumVon))</f>
        <v>Kostenbeitragsberechnung Name JM / Name Pflichtige/r für die Zeit ab 0.1.1900</v>
      </c>
      <c r="N2" s="54"/>
      <c r="X2" s="54"/>
      <c r="Y2" s="145"/>
      <c r="Z2" s="146"/>
    </row>
    <row r="3" spans="1:26" s="56" customFormat="1" ht="32.1" customHeight="1" x14ac:dyDescent="0.2">
      <c r="B3" s="55"/>
      <c r="N3" s="57"/>
      <c r="X3" s="57"/>
      <c r="Y3" s="147"/>
      <c r="Z3" s="146"/>
    </row>
    <row r="4" spans="1:26" s="59" customFormat="1" ht="20.25" x14ac:dyDescent="0.2">
      <c r="B4" s="58" t="s">
        <v>118</v>
      </c>
      <c r="N4" s="60"/>
      <c r="X4" s="60"/>
      <c r="Y4" s="148"/>
      <c r="Z4" s="149" t="s">
        <v>224</v>
      </c>
    </row>
    <row r="5" spans="1:26" s="62" customFormat="1" ht="15.95" customHeight="1" x14ac:dyDescent="0.2">
      <c r="B5" s="61" t="s">
        <v>355</v>
      </c>
      <c r="N5" s="63"/>
      <c r="X5" s="63"/>
      <c r="Y5" s="150"/>
      <c r="Z5" s="149"/>
    </row>
    <row r="6" spans="1:26" s="62" customFormat="1" ht="15.95" customHeight="1" x14ac:dyDescent="0.2">
      <c r="B6" s="64"/>
      <c r="N6" s="63"/>
      <c r="X6" s="63"/>
      <c r="Y6" s="150"/>
      <c r="Z6" s="149"/>
    </row>
    <row r="7" spans="1:26" s="68" customFormat="1" ht="20.100000000000001" customHeight="1" x14ac:dyDescent="0.2">
      <c r="B7" s="65" t="s">
        <v>127</v>
      </c>
      <c r="C7" s="66"/>
      <c r="D7" s="66"/>
      <c r="E7" s="66"/>
      <c r="F7" s="66"/>
      <c r="G7" s="66"/>
      <c r="H7" s="66"/>
      <c r="I7" s="66"/>
      <c r="J7" s="66"/>
      <c r="K7" s="66"/>
      <c r="L7" s="66"/>
      <c r="M7" s="66"/>
      <c r="N7" s="67"/>
      <c r="O7" s="66"/>
      <c r="P7" s="66"/>
      <c r="Q7" s="66"/>
      <c r="R7" s="66"/>
      <c r="S7" s="66"/>
      <c r="T7" s="66"/>
      <c r="U7" s="66"/>
      <c r="V7" s="66"/>
      <c r="W7" s="66"/>
      <c r="X7" s="67"/>
      <c r="Y7" s="150"/>
      <c r="Z7" s="417" t="s">
        <v>241</v>
      </c>
    </row>
    <row r="8" spans="1:26" s="68" customFormat="1" ht="8.1" customHeight="1" x14ac:dyDescent="0.2">
      <c r="N8" s="69"/>
      <c r="X8" s="69"/>
      <c r="Y8" s="150"/>
      <c r="Z8" s="417"/>
    </row>
    <row r="9" spans="1:26" s="71" customFormat="1" ht="15.95" customHeight="1" x14ac:dyDescent="0.2">
      <c r="B9" s="97" t="s">
        <v>394</v>
      </c>
      <c r="C9" s="68"/>
      <c r="D9" s="68"/>
      <c r="E9" s="68"/>
      <c r="F9" s="68"/>
      <c r="G9" s="68"/>
      <c r="H9" s="68"/>
      <c r="I9" s="68"/>
      <c r="J9" s="68"/>
      <c r="K9" s="412" t="s">
        <v>395</v>
      </c>
      <c r="L9" s="412"/>
      <c r="M9" s="412"/>
      <c r="N9" s="412"/>
      <c r="O9" s="412"/>
      <c r="P9" s="412"/>
      <c r="Q9" s="412"/>
      <c r="R9" s="412"/>
      <c r="S9" s="62"/>
      <c r="T9" s="412" t="s">
        <v>396</v>
      </c>
      <c r="U9" s="412"/>
      <c r="V9" s="412"/>
      <c r="W9" s="412"/>
      <c r="X9" s="70"/>
      <c r="Y9" s="150"/>
      <c r="Z9" s="417"/>
    </row>
    <row r="10" spans="1:26" s="68" customFormat="1" ht="8.1" customHeight="1" x14ac:dyDescent="0.2">
      <c r="N10" s="69"/>
      <c r="X10" s="69"/>
      <c r="Y10" s="150"/>
      <c r="Z10" s="417"/>
    </row>
    <row r="11" spans="1:26" s="71" customFormat="1" ht="15.95" customHeight="1" x14ac:dyDescent="0.2">
      <c r="B11" s="68" t="s">
        <v>128</v>
      </c>
      <c r="C11" s="68"/>
      <c r="D11" s="68"/>
      <c r="E11" s="68"/>
      <c r="F11" s="68"/>
      <c r="G11" s="68"/>
      <c r="H11" s="68"/>
      <c r="I11" s="68"/>
      <c r="J11" s="68"/>
      <c r="K11" s="412" t="s">
        <v>230</v>
      </c>
      <c r="L11" s="412"/>
      <c r="M11" s="412"/>
      <c r="N11" s="412"/>
      <c r="O11" s="412"/>
      <c r="P11" s="412"/>
      <c r="Q11" s="412"/>
      <c r="R11" s="412"/>
      <c r="S11" s="412"/>
      <c r="T11" s="412"/>
      <c r="U11" s="412"/>
      <c r="V11" s="412"/>
      <c r="W11" s="412"/>
      <c r="X11" s="70"/>
      <c r="Y11" s="150"/>
      <c r="Z11" s="417"/>
    </row>
    <row r="12" spans="1:26" s="71" customFormat="1" ht="15.95" customHeight="1" x14ac:dyDescent="0.2">
      <c r="K12" s="72"/>
      <c r="L12" s="72"/>
      <c r="M12" s="72"/>
      <c r="N12" s="70"/>
      <c r="O12" s="72"/>
      <c r="P12" s="72"/>
      <c r="Q12" s="72"/>
      <c r="R12" s="72"/>
      <c r="S12" s="72"/>
      <c r="T12" s="72"/>
      <c r="U12" s="72"/>
      <c r="V12" s="72"/>
      <c r="W12" s="72"/>
      <c r="X12" s="70"/>
      <c r="Y12" s="150"/>
      <c r="Z12" s="149"/>
    </row>
    <row r="13" spans="1:26" s="75" customFormat="1" ht="15.95" customHeight="1" x14ac:dyDescent="0.2">
      <c r="B13" s="71" t="s">
        <v>129</v>
      </c>
      <c r="C13" s="71"/>
      <c r="D13" s="71"/>
      <c r="E13" s="71"/>
      <c r="F13" s="71"/>
      <c r="G13" s="71"/>
      <c r="H13" s="71"/>
      <c r="I13" s="71"/>
      <c r="J13" s="71"/>
      <c r="K13" s="413"/>
      <c r="L13" s="412"/>
      <c r="M13" s="412"/>
      <c r="O13" s="73" t="str">
        <f>IF(K13=""," &lt;&lt;&lt; Geburtsdatum ist Pflichtfeld!","")</f>
        <v xml:space="preserve"> &lt;&lt;&lt; Geburtsdatum ist Pflichtfeld!</v>
      </c>
      <c r="P13" s="74"/>
      <c r="Q13" s="74"/>
      <c r="R13" s="74"/>
      <c r="S13" s="74"/>
      <c r="T13" s="74"/>
      <c r="X13" s="76"/>
      <c r="Y13" s="150"/>
      <c r="Z13" s="417" t="s">
        <v>44</v>
      </c>
    </row>
    <row r="14" spans="1:26" s="75" customFormat="1" ht="15.95" customHeight="1" x14ac:dyDescent="0.2">
      <c r="X14" s="76"/>
      <c r="Y14" s="150"/>
      <c r="Z14" s="417"/>
    </row>
    <row r="15" spans="1:26" s="71" customFormat="1" ht="15.95" customHeight="1" x14ac:dyDescent="0.2">
      <c r="B15" s="75" t="s">
        <v>130</v>
      </c>
      <c r="C15" s="75"/>
      <c r="D15" s="75"/>
      <c r="E15" s="75"/>
      <c r="F15" s="75"/>
      <c r="G15" s="75"/>
      <c r="H15" s="75"/>
      <c r="I15" s="75"/>
      <c r="J15" s="75"/>
      <c r="K15" s="412" t="s">
        <v>231</v>
      </c>
      <c r="L15" s="412"/>
      <c r="M15" s="412"/>
      <c r="N15" s="412"/>
      <c r="O15" s="412"/>
      <c r="P15" s="412"/>
      <c r="Q15" s="412"/>
      <c r="R15" s="412"/>
      <c r="S15" s="412"/>
      <c r="T15" s="412"/>
      <c r="U15" s="412"/>
      <c r="V15" s="412"/>
      <c r="W15" s="412"/>
      <c r="X15" s="70"/>
      <c r="Y15" s="150"/>
      <c r="Z15" s="149"/>
    </row>
    <row r="16" spans="1:26" s="71" customFormat="1" ht="15.95" customHeight="1" x14ac:dyDescent="0.2">
      <c r="N16" s="70"/>
      <c r="X16" s="70"/>
      <c r="Y16" s="150"/>
      <c r="Z16" s="418" t="s">
        <v>370</v>
      </c>
    </row>
    <row r="17" spans="2:26" s="71" customFormat="1" ht="15.95" customHeight="1" x14ac:dyDescent="0.2">
      <c r="B17" s="71" t="s">
        <v>216</v>
      </c>
      <c r="K17" s="413"/>
      <c r="L17" s="413"/>
      <c r="M17" s="413"/>
      <c r="O17" s="73" t="str">
        <f>IF(KBZeitraumVon=""," &lt;&lt;&lt; Von-Datum ist Pflichtfeld!","")</f>
        <v xml:space="preserve"> &lt;&lt;&lt; Von-Datum ist Pflichtfeld!</v>
      </c>
      <c r="X17" s="70"/>
      <c r="Y17" s="150"/>
      <c r="Z17" s="417"/>
    </row>
    <row r="18" spans="2:26" s="71" customFormat="1" ht="15.95" customHeight="1" x14ac:dyDescent="0.2">
      <c r="B18" s="96" t="str">
        <f>IF(AND(GebDatJM&lt;&gt;"",KBZeitraumVon&lt;&gt;"")=TRUE,IF(DATEDIF(GebDatJM,KBZeitraumVon,"D")&lt;6574,"Der o.g. junge Mensch ist am " &amp; DAY(KBZeitraumVon) &amp; "." &amp; MONTH(KBZeitraumVon) &amp; "." &amp; YEAR(KBZeitraumVon) &amp; " noch minderjährig. Diese Berechnung gilt nur für Volljährige!",""),"")</f>
        <v/>
      </c>
      <c r="K18" s="90"/>
      <c r="L18" s="90"/>
      <c r="M18" s="90"/>
      <c r="N18" s="90"/>
      <c r="O18" s="90"/>
      <c r="P18" s="90"/>
      <c r="Q18" s="90"/>
      <c r="R18" s="90"/>
      <c r="S18" s="90"/>
      <c r="T18" s="90"/>
      <c r="U18" s="90"/>
      <c r="V18" s="90"/>
      <c r="W18" s="90"/>
      <c r="X18" s="70"/>
      <c r="Y18" s="150"/>
      <c r="Z18" s="151"/>
    </row>
    <row r="19" spans="2:26" s="75" customFormat="1" ht="15.95" customHeight="1" x14ac:dyDescent="0.2">
      <c r="B19" s="71" t="s">
        <v>135</v>
      </c>
      <c r="C19" s="71"/>
      <c r="D19" s="71"/>
      <c r="E19" s="71"/>
      <c r="F19" s="71"/>
      <c r="G19" s="71"/>
      <c r="H19" s="71"/>
      <c r="I19" s="71"/>
      <c r="J19" s="71"/>
      <c r="K19" s="72" t="str">
        <f>VLOOKUP(Dropdown_Antrag93_4,EKZeitraumMatrix,2,FALSE)</f>
        <v>Bitte wählen…</v>
      </c>
      <c r="L19" s="71"/>
      <c r="M19" s="71"/>
      <c r="N19" s="70"/>
      <c r="O19" s="71"/>
      <c r="P19" s="71"/>
      <c r="Q19" s="71"/>
      <c r="R19" s="71"/>
      <c r="S19" s="77"/>
      <c r="X19" s="76"/>
      <c r="Y19" s="150"/>
      <c r="Z19" s="420" t="s">
        <v>373</v>
      </c>
    </row>
    <row r="20" spans="2:26" s="75" customFormat="1" ht="15.95" customHeight="1" x14ac:dyDescent="0.2">
      <c r="K20" s="383" t="str">
        <f>IF(Dropdown_Antrag93_4=1,"Auswahl treffen!","")</f>
        <v>Auswahl treffen!</v>
      </c>
      <c r="N20" s="76"/>
      <c r="X20" s="76"/>
      <c r="Y20" s="150"/>
      <c r="Z20" s="420"/>
    </row>
    <row r="21" spans="2:26" s="75" customFormat="1" ht="15.95" customHeight="1" x14ac:dyDescent="0.2">
      <c r="B21" s="75" t="str">
        <f>"Einkommen "&amp; IF(KBZeitraumVon="","",VLOOKUP(Dropdown_Antrag93_4,Dropdownfelder!A3:C6,3,FALSE))</f>
        <v xml:space="preserve">Einkommen </v>
      </c>
      <c r="K21" s="414" t="str">
        <f>VLOOKUP(Dropdownfelder!A2,EKZeitraumMatrix,4,FALSE)</f>
        <v xml:space="preserve"> </v>
      </c>
      <c r="L21" s="414"/>
      <c r="M21" s="414"/>
      <c r="N21" s="76" t="s">
        <v>119</v>
      </c>
      <c r="O21" s="415" t="str">
        <f>VLOOKUP(Dropdownfelder!A2,EKZeitraumMatrix,5,FALSE)</f>
        <v xml:space="preserve"> </v>
      </c>
      <c r="P21" s="415"/>
      <c r="Q21" s="415"/>
      <c r="U21" s="93">
        <f>IF(Dropdown_Antrag93_4=1,0,IF(AND(EKZeitraumVon&lt;&gt;"",EKZeitraumBis&lt;&gt;"",EKZeitraumVon&lt;&gt; "Eingabe !",EKZeitraumBis&lt;&gt; "Eingabe !")=TRUE,DATEDIF(EKZeitraumVon,EKZeitraumBis,"m")+1,0))</f>
        <v>0</v>
      </c>
      <c r="V21" s="78" t="str">
        <f>"Monat" &amp; IF(OR(EKMonate=0,EKMonate&gt;1)=TRUE,"e","")</f>
        <v>Monate</v>
      </c>
      <c r="X21" s="76"/>
      <c r="Y21" s="150"/>
      <c r="Z21" s="420"/>
    </row>
    <row r="22" spans="2:26" s="75" customFormat="1" ht="15.95" customHeight="1" x14ac:dyDescent="0.2">
      <c r="N22" s="76"/>
      <c r="X22" s="76"/>
      <c r="Y22" s="150"/>
      <c r="Z22" s="420"/>
    </row>
    <row r="23" spans="2:26" s="68" customFormat="1" ht="20.100000000000001" customHeight="1" x14ac:dyDescent="0.2">
      <c r="B23" s="65" t="s">
        <v>336</v>
      </c>
      <c r="C23" s="66"/>
      <c r="D23" s="66"/>
      <c r="E23" s="66"/>
      <c r="F23" s="66"/>
      <c r="G23" s="66"/>
      <c r="H23" s="66"/>
      <c r="I23" s="66"/>
      <c r="J23" s="66"/>
      <c r="K23" s="66"/>
      <c r="L23" s="66"/>
      <c r="M23" s="66"/>
      <c r="N23" s="67"/>
      <c r="O23" s="66"/>
      <c r="P23" s="66"/>
      <c r="Q23" s="66"/>
      <c r="R23" s="66"/>
      <c r="S23" s="66"/>
      <c r="T23" s="66"/>
      <c r="U23" s="66"/>
      <c r="V23" s="66"/>
      <c r="W23" s="66"/>
      <c r="X23" s="67"/>
      <c r="Y23" s="150"/>
      <c r="Z23" s="149"/>
    </row>
    <row r="24" spans="2:26" s="68" customFormat="1" ht="8.1" customHeight="1" x14ac:dyDescent="0.2">
      <c r="N24" s="69"/>
      <c r="X24" s="69"/>
      <c r="Y24" s="150"/>
      <c r="Z24" s="149"/>
    </row>
    <row r="25" spans="2:26" s="68" customFormat="1" ht="15.95" customHeight="1" x14ac:dyDescent="0.2">
      <c r="B25" s="64" t="s">
        <v>61</v>
      </c>
      <c r="N25" s="69"/>
      <c r="X25" s="69"/>
      <c r="Y25" s="150"/>
      <c r="Z25" s="149"/>
    </row>
    <row r="26" spans="2:26" s="68" customFormat="1" ht="8.1" customHeight="1" x14ac:dyDescent="0.2">
      <c r="N26" s="69"/>
      <c r="X26" s="69"/>
      <c r="Y26" s="150"/>
      <c r="Z26" s="149"/>
    </row>
    <row r="27" spans="2:26" s="62" customFormat="1" ht="15.95" customHeight="1" x14ac:dyDescent="0.2">
      <c r="B27" s="64" t="s">
        <v>138</v>
      </c>
      <c r="N27" s="63"/>
      <c r="Q27" s="78" t="s">
        <v>353</v>
      </c>
      <c r="X27" s="63"/>
      <c r="Y27" s="150"/>
      <c r="Z27" s="150"/>
    </row>
    <row r="28" spans="2:26" s="71" customFormat="1" ht="15.95" customHeight="1" x14ac:dyDescent="0.2">
      <c r="B28" s="10" t="s">
        <v>139</v>
      </c>
      <c r="C28" s="10"/>
      <c r="D28" s="10"/>
      <c r="E28" s="10"/>
      <c r="F28" s="10"/>
      <c r="G28" s="10"/>
      <c r="H28" s="79"/>
      <c r="I28" s="79"/>
      <c r="J28" s="79"/>
      <c r="K28" s="411">
        <v>0</v>
      </c>
      <c r="L28" s="411"/>
      <c r="M28" s="411"/>
      <c r="N28" s="70"/>
      <c r="Q28" s="71" t="s">
        <v>149</v>
      </c>
      <c r="U28" s="411">
        <v>0</v>
      </c>
      <c r="V28" s="411"/>
      <c r="W28" s="411"/>
      <c r="X28" s="70"/>
      <c r="Y28" s="150"/>
      <c r="Z28" s="421" t="s">
        <v>242</v>
      </c>
    </row>
    <row r="29" spans="2:26" s="71" customFormat="1" ht="15.95" customHeight="1" x14ac:dyDescent="0.2">
      <c r="B29" s="410" t="s">
        <v>140</v>
      </c>
      <c r="C29" s="410"/>
      <c r="D29" s="410"/>
      <c r="E29" s="410"/>
      <c r="F29" s="410"/>
      <c r="G29" s="410"/>
      <c r="H29" s="79"/>
      <c r="I29" s="79"/>
      <c r="J29" s="79"/>
      <c r="K29" s="411">
        <v>0</v>
      </c>
      <c r="L29" s="411"/>
      <c r="M29" s="411"/>
      <c r="N29" s="11" t="s">
        <v>162</v>
      </c>
      <c r="O29" s="79"/>
      <c r="P29" s="79"/>
      <c r="Q29" s="79" t="s">
        <v>150</v>
      </c>
      <c r="S29" s="79"/>
      <c r="T29" s="79"/>
      <c r="U29" s="411">
        <v>0</v>
      </c>
      <c r="V29" s="411"/>
      <c r="W29" s="411"/>
      <c r="X29" s="70" t="s">
        <v>162</v>
      </c>
      <c r="Y29" s="150"/>
      <c r="Z29" s="421"/>
    </row>
    <row r="30" spans="2:26" s="71" customFormat="1" ht="15.95" customHeight="1" x14ac:dyDescent="0.2">
      <c r="B30" s="410" t="s">
        <v>140</v>
      </c>
      <c r="C30" s="410"/>
      <c r="D30" s="410"/>
      <c r="E30" s="410"/>
      <c r="F30" s="410"/>
      <c r="G30" s="410"/>
      <c r="H30" s="79"/>
      <c r="I30" s="79"/>
      <c r="J30" s="79"/>
      <c r="K30" s="411">
        <v>0</v>
      </c>
      <c r="L30" s="411"/>
      <c r="M30" s="411"/>
      <c r="N30" s="11" t="s">
        <v>162</v>
      </c>
      <c r="O30" s="79"/>
      <c r="P30" s="79"/>
      <c r="Q30" s="79" t="s">
        <v>151</v>
      </c>
      <c r="S30" s="79"/>
      <c r="T30" s="79"/>
      <c r="U30" s="411">
        <v>0</v>
      </c>
      <c r="V30" s="411"/>
      <c r="W30" s="411"/>
      <c r="X30" s="70" t="s">
        <v>162</v>
      </c>
      <c r="Y30" s="150"/>
      <c r="Z30" s="421"/>
    </row>
    <row r="31" spans="2:26" s="71" customFormat="1" ht="15.95" customHeight="1" x14ac:dyDescent="0.2">
      <c r="B31" s="10" t="s">
        <v>141</v>
      </c>
      <c r="C31" s="10"/>
      <c r="D31" s="10"/>
      <c r="E31" s="10"/>
      <c r="F31" s="10"/>
      <c r="G31" s="10"/>
      <c r="H31" s="79"/>
      <c r="I31" s="79"/>
      <c r="J31" s="79"/>
      <c r="K31" s="411">
        <v>0</v>
      </c>
      <c r="L31" s="411"/>
      <c r="M31" s="411"/>
      <c r="N31" s="11" t="s">
        <v>163</v>
      </c>
      <c r="O31" s="79"/>
      <c r="P31" s="79"/>
      <c r="Q31" s="79" t="s">
        <v>152</v>
      </c>
      <c r="S31" s="79"/>
      <c r="T31" s="79"/>
      <c r="U31" s="411">
        <v>0</v>
      </c>
      <c r="V31" s="411"/>
      <c r="W31" s="411"/>
      <c r="X31" s="70" t="s">
        <v>162</v>
      </c>
      <c r="Y31" s="150"/>
      <c r="Z31" s="421"/>
    </row>
    <row r="32" spans="2:26" s="71" customFormat="1" ht="15.95" customHeight="1" x14ac:dyDescent="0.2">
      <c r="B32" s="10" t="s">
        <v>142</v>
      </c>
      <c r="C32" s="10"/>
      <c r="D32" s="10"/>
      <c r="E32" s="10"/>
      <c r="F32" s="10"/>
      <c r="G32" s="10"/>
      <c r="H32" s="79"/>
      <c r="I32" s="79"/>
      <c r="J32" s="79"/>
      <c r="K32" s="411">
        <v>0</v>
      </c>
      <c r="L32" s="411"/>
      <c r="M32" s="411"/>
      <c r="N32" s="11" t="s">
        <v>163</v>
      </c>
      <c r="O32" s="79"/>
      <c r="P32" s="79"/>
      <c r="Q32" s="79" t="s">
        <v>153</v>
      </c>
      <c r="S32" s="79"/>
      <c r="T32" s="79"/>
      <c r="U32" s="411">
        <v>0</v>
      </c>
      <c r="V32" s="411"/>
      <c r="W32" s="411"/>
      <c r="X32" s="70" t="s">
        <v>162</v>
      </c>
      <c r="Y32" s="150"/>
      <c r="Z32" s="421"/>
    </row>
    <row r="33" spans="2:26" s="71" customFormat="1" ht="15.95" customHeight="1" x14ac:dyDescent="0.2">
      <c r="B33" s="10" t="s">
        <v>143</v>
      </c>
      <c r="C33" s="10"/>
      <c r="D33" s="10"/>
      <c r="E33" s="10"/>
      <c r="F33" s="10"/>
      <c r="G33" s="10"/>
      <c r="H33" s="79"/>
      <c r="I33" s="79"/>
      <c r="J33" s="79"/>
      <c r="K33" s="411">
        <v>0</v>
      </c>
      <c r="L33" s="411"/>
      <c r="M33" s="411"/>
      <c r="N33" s="11" t="s">
        <v>163</v>
      </c>
      <c r="O33" s="79"/>
      <c r="P33" s="79"/>
      <c r="Q33" s="79" t="s">
        <v>154</v>
      </c>
      <c r="S33" s="79"/>
      <c r="T33" s="79"/>
      <c r="U33" s="411">
        <v>0</v>
      </c>
      <c r="V33" s="411"/>
      <c r="W33" s="411"/>
      <c r="X33" s="70" t="s">
        <v>162</v>
      </c>
      <c r="Y33" s="150"/>
      <c r="Z33" s="421"/>
    </row>
    <row r="34" spans="2:26" s="71" customFormat="1" ht="15.95" customHeight="1" x14ac:dyDescent="0.2">
      <c r="B34" s="10" t="s">
        <v>144</v>
      </c>
      <c r="C34" s="10"/>
      <c r="D34" s="10"/>
      <c r="E34" s="10"/>
      <c r="F34" s="10"/>
      <c r="G34" s="10"/>
      <c r="H34" s="79"/>
      <c r="I34" s="79"/>
      <c r="J34" s="79"/>
      <c r="K34" s="411">
        <v>0</v>
      </c>
      <c r="L34" s="411"/>
      <c r="M34" s="411"/>
      <c r="N34" s="11" t="s">
        <v>163</v>
      </c>
      <c r="O34" s="79"/>
      <c r="P34" s="79"/>
      <c r="Q34" s="79" t="s">
        <v>155</v>
      </c>
      <c r="S34" s="79"/>
      <c r="T34" s="79"/>
      <c r="U34" s="411">
        <v>0</v>
      </c>
      <c r="V34" s="411"/>
      <c r="W34" s="411"/>
      <c r="X34" s="70" t="s">
        <v>162</v>
      </c>
      <c r="Y34" s="150"/>
      <c r="Z34" s="421"/>
    </row>
    <row r="35" spans="2:26" s="71" customFormat="1" ht="15.95" customHeight="1" x14ac:dyDescent="0.2">
      <c r="B35" s="10" t="s">
        <v>145</v>
      </c>
      <c r="C35" s="10"/>
      <c r="D35" s="10"/>
      <c r="E35" s="10"/>
      <c r="F35" s="10"/>
      <c r="G35" s="10"/>
      <c r="H35" s="79"/>
      <c r="I35" s="79"/>
      <c r="J35" s="79"/>
      <c r="K35" s="411">
        <v>0</v>
      </c>
      <c r="L35" s="411"/>
      <c r="M35" s="411"/>
      <c r="N35" s="11" t="s">
        <v>163</v>
      </c>
      <c r="O35" s="79"/>
      <c r="P35" s="79"/>
      <c r="Q35" s="79" t="s">
        <v>156</v>
      </c>
      <c r="S35" s="79"/>
      <c r="T35" s="79"/>
      <c r="U35" s="411">
        <v>0</v>
      </c>
      <c r="V35" s="411"/>
      <c r="W35" s="411"/>
      <c r="X35" s="70" t="s">
        <v>162</v>
      </c>
      <c r="Y35" s="150"/>
      <c r="Z35" s="421"/>
    </row>
    <row r="36" spans="2:26" s="71" customFormat="1" ht="15.95" customHeight="1" x14ac:dyDescent="0.2">
      <c r="B36" s="10" t="s">
        <v>146</v>
      </c>
      <c r="C36" s="10"/>
      <c r="D36" s="10"/>
      <c r="E36" s="10"/>
      <c r="F36" s="10"/>
      <c r="G36" s="10"/>
      <c r="H36" s="79"/>
      <c r="I36" s="79"/>
      <c r="J36" s="79"/>
      <c r="K36" s="411">
        <v>0</v>
      </c>
      <c r="L36" s="411"/>
      <c r="M36" s="411"/>
      <c r="N36" s="11" t="s">
        <v>163</v>
      </c>
      <c r="O36" s="79"/>
      <c r="P36" s="79"/>
      <c r="Q36" s="79" t="s">
        <v>157</v>
      </c>
      <c r="S36" s="79"/>
      <c r="T36" s="79"/>
      <c r="U36" s="411">
        <v>0</v>
      </c>
      <c r="V36" s="411"/>
      <c r="W36" s="411"/>
      <c r="X36" s="70" t="s">
        <v>162</v>
      </c>
      <c r="Y36" s="150"/>
      <c r="Z36" s="421"/>
    </row>
    <row r="37" spans="2:26" s="71" customFormat="1" ht="15.95" customHeight="1" x14ac:dyDescent="0.2">
      <c r="B37" s="10" t="s">
        <v>147</v>
      </c>
      <c r="C37" s="10"/>
      <c r="D37" s="10"/>
      <c r="E37" s="10"/>
      <c r="F37" s="10"/>
      <c r="G37" s="10"/>
      <c r="H37" s="79"/>
      <c r="I37" s="79"/>
      <c r="J37" s="79"/>
      <c r="K37" s="411">
        <v>0</v>
      </c>
      <c r="L37" s="411"/>
      <c r="M37" s="411"/>
      <c r="N37" s="11" t="s">
        <v>163</v>
      </c>
      <c r="O37" s="79"/>
      <c r="P37" s="79"/>
      <c r="Q37" s="79" t="s">
        <v>158</v>
      </c>
      <c r="S37" s="79"/>
      <c r="T37" s="79"/>
      <c r="U37" s="411">
        <v>0</v>
      </c>
      <c r="V37" s="411"/>
      <c r="W37" s="411"/>
      <c r="X37" s="70" t="s">
        <v>162</v>
      </c>
      <c r="Y37" s="150"/>
      <c r="Z37" s="421"/>
    </row>
    <row r="38" spans="2:26" s="71" customFormat="1" ht="15.95" customHeight="1" x14ac:dyDescent="0.2">
      <c r="B38" s="439" t="s">
        <v>148</v>
      </c>
      <c r="C38" s="439"/>
      <c r="D38" s="439"/>
      <c r="E38" s="439"/>
      <c r="F38" s="439"/>
      <c r="G38" s="439"/>
      <c r="H38" s="439"/>
      <c r="I38" s="439"/>
      <c r="J38" s="79"/>
      <c r="K38" s="411">
        <v>0</v>
      </c>
      <c r="L38" s="411"/>
      <c r="M38" s="411"/>
      <c r="N38" s="11" t="s">
        <v>163</v>
      </c>
      <c r="O38" s="79"/>
      <c r="P38" s="79"/>
      <c r="Q38" s="79" t="s">
        <v>159</v>
      </c>
      <c r="S38" s="79"/>
      <c r="T38" s="79"/>
      <c r="U38" s="411">
        <v>0</v>
      </c>
      <c r="V38" s="411"/>
      <c r="W38" s="411"/>
      <c r="X38" s="70" t="s">
        <v>162</v>
      </c>
      <c r="Y38" s="150"/>
      <c r="Z38" s="421"/>
    </row>
    <row r="39" spans="2:26" s="71" customFormat="1" ht="15.95" customHeight="1" x14ac:dyDescent="0.2">
      <c r="B39" s="439" t="s">
        <v>148</v>
      </c>
      <c r="C39" s="439"/>
      <c r="D39" s="439"/>
      <c r="E39" s="439"/>
      <c r="F39" s="439"/>
      <c r="G39" s="439"/>
      <c r="H39" s="439"/>
      <c r="I39" s="439"/>
      <c r="J39" s="79"/>
      <c r="K39" s="419">
        <v>0</v>
      </c>
      <c r="L39" s="419"/>
      <c r="M39" s="419"/>
      <c r="N39" s="12" t="s">
        <v>163</v>
      </c>
      <c r="O39" s="79"/>
      <c r="P39" s="79"/>
      <c r="Q39" s="79" t="s">
        <v>160</v>
      </c>
      <c r="S39" s="79"/>
      <c r="T39" s="79"/>
      <c r="U39" s="419">
        <v>0</v>
      </c>
      <c r="V39" s="419"/>
      <c r="W39" s="419"/>
      <c r="X39" s="80" t="s">
        <v>162</v>
      </c>
      <c r="Y39" s="150"/>
      <c r="Z39" s="421"/>
    </row>
    <row r="40" spans="2:26" s="71" customFormat="1" ht="3.95" customHeight="1" x14ac:dyDescent="0.2">
      <c r="B40" s="44"/>
      <c r="C40" s="44"/>
      <c r="D40" s="44"/>
      <c r="E40" s="44"/>
      <c r="F40" s="44"/>
      <c r="G40" s="44"/>
      <c r="H40" s="79"/>
      <c r="I40" s="79"/>
      <c r="J40" s="79"/>
      <c r="K40" s="81"/>
      <c r="L40" s="81"/>
      <c r="M40" s="81"/>
      <c r="N40" s="48"/>
      <c r="O40" s="79"/>
      <c r="P40" s="79"/>
      <c r="Q40" s="79"/>
      <c r="S40" s="79"/>
      <c r="T40" s="79"/>
      <c r="U40" s="81"/>
      <c r="V40" s="81"/>
      <c r="W40" s="81"/>
      <c r="X40" s="82"/>
      <c r="Y40" s="150"/>
      <c r="Z40" s="152"/>
    </row>
    <row r="41" spans="2:26" ht="15.95" customHeight="1" x14ac:dyDescent="0.2">
      <c r="B41" s="10" t="s">
        <v>198</v>
      </c>
      <c r="C41" s="10"/>
      <c r="D41" s="10"/>
      <c r="E41" s="10"/>
      <c r="F41" s="10"/>
      <c r="G41" s="10"/>
      <c r="I41" s="83"/>
      <c r="J41" s="83"/>
      <c r="K41" s="442">
        <f>SUM(K28:M30)-SUM(K31:M39)</f>
        <v>0</v>
      </c>
      <c r="L41" s="442"/>
      <c r="M41" s="442"/>
      <c r="N41" s="84"/>
      <c r="O41" s="83"/>
      <c r="P41" s="83"/>
      <c r="Q41" s="49" t="s">
        <v>197</v>
      </c>
      <c r="R41" s="83"/>
      <c r="S41" s="83"/>
      <c r="T41" s="83"/>
      <c r="U41" s="442">
        <f>SUM(U28:W39)</f>
        <v>0</v>
      </c>
      <c r="V41" s="442"/>
      <c r="W41" s="442"/>
      <c r="Y41" s="150"/>
      <c r="Z41" s="152"/>
    </row>
    <row r="42" spans="2:26" ht="15.95" customHeight="1" x14ac:dyDescent="0.2">
      <c r="Y42" s="150"/>
      <c r="Z42" s="149"/>
    </row>
    <row r="43" spans="2:26" ht="15.95" customHeight="1" x14ac:dyDescent="0.2">
      <c r="B43" s="79" t="s">
        <v>199</v>
      </c>
      <c r="K43" s="443">
        <f>K41</f>
        <v>0</v>
      </c>
      <c r="L43" s="444"/>
      <c r="M43" s="444"/>
      <c r="N43" s="79"/>
      <c r="Y43" s="150"/>
      <c r="Z43" s="149"/>
    </row>
    <row r="44" spans="2:26" ht="15.95" customHeight="1" x14ac:dyDescent="0.2">
      <c r="B44" s="79" t="s">
        <v>197</v>
      </c>
      <c r="K44" s="437">
        <f>EKMonatssumme</f>
        <v>0</v>
      </c>
      <c r="L44" s="438"/>
      <c r="M44" s="438"/>
      <c r="N44" s="9" t="s">
        <v>162</v>
      </c>
      <c r="O44" s="86"/>
      <c r="P44" s="87"/>
      <c r="U44" s="88"/>
      <c r="V44" s="89"/>
      <c r="W44" s="89"/>
      <c r="Y44" s="150"/>
      <c r="Z44" s="149"/>
    </row>
    <row r="45" spans="2:26" ht="3.95" customHeight="1" x14ac:dyDescent="0.2">
      <c r="K45" s="144"/>
      <c r="L45" s="194"/>
      <c r="M45" s="194"/>
      <c r="N45" s="24"/>
      <c r="O45" s="86"/>
      <c r="P45" s="87"/>
      <c r="U45" s="88"/>
      <c r="V45" s="89"/>
      <c r="W45" s="89"/>
      <c r="Y45" s="150"/>
      <c r="Z45" s="149"/>
    </row>
    <row r="46" spans="2:26" ht="15.95" customHeight="1" x14ac:dyDescent="0.2">
      <c r="B46" s="79" t="s">
        <v>210</v>
      </c>
      <c r="K46" s="443">
        <f>SUM(K43:M44)</f>
        <v>0</v>
      </c>
      <c r="L46" s="444"/>
      <c r="M46" s="444"/>
      <c r="N46" s="79"/>
      <c r="O46" s="47" t="s">
        <v>164</v>
      </c>
      <c r="P46" s="86">
        <f>EKMonate</f>
        <v>0</v>
      </c>
      <c r="Q46" s="87" t="str">
        <f>"Monat" &amp; IF(EKMonate&gt;1,"e","") &amp; " ="</f>
        <v>Monat =</v>
      </c>
      <c r="U46" s="427">
        <f>IF(EKMonate=0,0,ROUND(EKJahresGesamt/EKMonate,2))</f>
        <v>0</v>
      </c>
      <c r="V46" s="428"/>
      <c r="W46" s="428"/>
      <c r="Y46" s="150"/>
      <c r="Z46" s="149"/>
    </row>
    <row r="47" spans="2:26" ht="15.95" customHeight="1" x14ac:dyDescent="0.2">
      <c r="K47" s="104"/>
      <c r="L47" s="105"/>
      <c r="M47" s="105"/>
      <c r="N47" s="47"/>
      <c r="O47" s="86"/>
      <c r="P47" s="87"/>
      <c r="U47" s="88"/>
      <c r="V47" s="89"/>
      <c r="W47" s="89"/>
      <c r="Y47" s="150"/>
      <c r="Z47" s="149"/>
    </row>
    <row r="48" spans="2:26" ht="15.95" customHeight="1" x14ac:dyDescent="0.2">
      <c r="B48" s="78" t="s">
        <v>105</v>
      </c>
      <c r="Y48" s="150"/>
      <c r="Z48" s="149"/>
    </row>
    <row r="49" spans="2:26" ht="15.95" customHeight="1" x14ac:dyDescent="0.2">
      <c r="Y49" s="150"/>
      <c r="Z49" s="149"/>
    </row>
    <row r="50" spans="2:26" ht="15.95" customHeight="1" x14ac:dyDescent="0.2">
      <c r="B50" s="79" t="s">
        <v>195</v>
      </c>
      <c r="K50" s="79" t="str">
        <f>VLOOKUP(Dropdownfelder!A9,Dropdownfelder!A10:C14,2,FALSE)</f>
        <v>Bitte wählen…</v>
      </c>
      <c r="N50" s="79"/>
      <c r="U50" s="405" t="str">
        <f>VLOOKUP(Dropdownfelder!A9,Dropdownfelder!A10:C14,3,FALSE)</f>
        <v xml:space="preserve"> &lt;&lt;&lt; Auswahl</v>
      </c>
      <c r="V50" s="406"/>
      <c r="W50" s="406"/>
      <c r="Y50" s="150"/>
      <c r="Z50" s="417" t="s">
        <v>334</v>
      </c>
    </row>
    <row r="51" spans="2:26" ht="15.95" customHeight="1" x14ac:dyDescent="0.2">
      <c r="B51" s="79" t="s">
        <v>168</v>
      </c>
      <c r="K51" s="79" t="str">
        <f>VLOOKUP(Dropdownfelder!A17,Dropdownfelder!A18:C22,2,FALSE)</f>
        <v>Bitte wählen…</v>
      </c>
      <c r="N51" s="79"/>
      <c r="U51" s="405" t="str">
        <f>VLOOKUP(Dropdownfelder!A17,Dropdownfelder!A18:C22,3,FALSE)</f>
        <v xml:space="preserve"> &lt;&lt;&lt; Auswahl</v>
      </c>
      <c r="V51" s="406"/>
      <c r="W51" s="406"/>
      <c r="X51" s="85" t="s">
        <v>162</v>
      </c>
      <c r="Y51" s="150"/>
      <c r="Z51" s="417"/>
    </row>
    <row r="52" spans="2:26" ht="15.95" customHeight="1" x14ac:dyDescent="0.2">
      <c r="B52" s="79" t="s">
        <v>201</v>
      </c>
      <c r="K52" s="440" t="s">
        <v>382</v>
      </c>
      <c r="L52" s="441"/>
      <c r="M52" s="441"/>
      <c r="N52" s="441"/>
      <c r="O52" s="441"/>
      <c r="P52" s="441"/>
      <c r="Q52" s="441"/>
      <c r="R52" s="441"/>
      <c r="S52" s="416" t="s">
        <v>106</v>
      </c>
      <c r="T52" s="416"/>
      <c r="U52" s="411">
        <v>0</v>
      </c>
      <c r="V52" s="411"/>
      <c r="W52" s="411"/>
      <c r="X52" s="85" t="s">
        <v>162</v>
      </c>
      <c r="Y52" s="150"/>
      <c r="Z52" s="417"/>
    </row>
    <row r="53" spans="2:26" ht="15.95" customHeight="1" x14ac:dyDescent="0.2">
      <c r="B53" s="79" t="s">
        <v>202</v>
      </c>
      <c r="K53" s="440" t="s">
        <v>382</v>
      </c>
      <c r="L53" s="441"/>
      <c r="M53" s="441"/>
      <c r="N53" s="441"/>
      <c r="O53" s="441"/>
      <c r="P53" s="441"/>
      <c r="Q53" s="441"/>
      <c r="R53" s="441"/>
      <c r="S53" s="416" t="s">
        <v>106</v>
      </c>
      <c r="T53" s="416"/>
      <c r="U53" s="411">
        <v>0</v>
      </c>
      <c r="V53" s="411"/>
      <c r="W53" s="411"/>
      <c r="X53" s="85" t="s">
        <v>162</v>
      </c>
      <c r="Y53" s="150"/>
      <c r="Z53" s="417"/>
    </row>
    <row r="54" spans="2:26" ht="15.95" customHeight="1" x14ac:dyDescent="0.2">
      <c r="B54" s="79" t="s">
        <v>203</v>
      </c>
      <c r="K54" s="440" t="s">
        <v>382</v>
      </c>
      <c r="L54" s="441"/>
      <c r="M54" s="441"/>
      <c r="N54" s="441"/>
      <c r="O54" s="441"/>
      <c r="P54" s="441"/>
      <c r="Q54" s="441"/>
      <c r="R54" s="441"/>
      <c r="S54" s="416" t="s">
        <v>106</v>
      </c>
      <c r="T54" s="416"/>
      <c r="U54" s="411">
        <v>0</v>
      </c>
      <c r="V54" s="411"/>
      <c r="W54" s="411"/>
      <c r="X54" s="85" t="s">
        <v>162</v>
      </c>
      <c r="Y54" s="150"/>
      <c r="Z54" s="417"/>
    </row>
    <row r="55" spans="2:26" ht="15.95" customHeight="1" x14ac:dyDescent="0.2">
      <c r="B55" s="79" t="s">
        <v>200</v>
      </c>
      <c r="K55" s="440" t="s">
        <v>382</v>
      </c>
      <c r="L55" s="441"/>
      <c r="M55" s="441"/>
      <c r="N55" s="441"/>
      <c r="O55" s="441"/>
      <c r="P55" s="441"/>
      <c r="Q55" s="441"/>
      <c r="R55" s="441"/>
      <c r="S55" s="416" t="s">
        <v>106</v>
      </c>
      <c r="T55" s="416"/>
      <c r="U55" s="411">
        <v>0</v>
      </c>
      <c r="V55" s="411"/>
      <c r="W55" s="411"/>
      <c r="X55" s="85" t="s">
        <v>162</v>
      </c>
      <c r="Y55" s="150"/>
      <c r="Z55" s="417"/>
    </row>
    <row r="56" spans="2:26" ht="15.95" customHeight="1" x14ac:dyDescent="0.2">
      <c r="B56" s="79" t="s">
        <v>200</v>
      </c>
      <c r="K56" s="440" t="s">
        <v>382</v>
      </c>
      <c r="L56" s="441"/>
      <c r="M56" s="441"/>
      <c r="N56" s="441"/>
      <c r="O56" s="441"/>
      <c r="P56" s="441"/>
      <c r="Q56" s="441"/>
      <c r="R56" s="441"/>
      <c r="S56" s="416" t="s">
        <v>106</v>
      </c>
      <c r="T56" s="416"/>
      <c r="U56" s="419">
        <v>0</v>
      </c>
      <c r="V56" s="419"/>
      <c r="W56" s="419"/>
      <c r="X56" s="91" t="s">
        <v>162</v>
      </c>
      <c r="Y56" s="150"/>
      <c r="Z56" s="417"/>
    </row>
    <row r="57" spans="2:26" s="90" customFormat="1" ht="15.95" customHeight="1" x14ac:dyDescent="0.2">
      <c r="K57" s="92"/>
      <c r="L57" s="92"/>
      <c r="M57" s="92"/>
      <c r="N57" s="92"/>
      <c r="O57" s="92"/>
      <c r="P57" s="92"/>
      <c r="Q57" s="92"/>
      <c r="R57" s="92"/>
      <c r="U57" s="81"/>
      <c r="V57" s="81"/>
      <c r="W57" s="81"/>
      <c r="X57" s="84"/>
      <c r="Y57" s="150"/>
      <c r="Z57" s="149"/>
    </row>
    <row r="58" spans="2:26" ht="15.95" customHeight="1" x14ac:dyDescent="0.2">
      <c r="B58" s="78" t="s">
        <v>205</v>
      </c>
      <c r="C58" s="78"/>
      <c r="D58" s="78"/>
      <c r="E58" s="78"/>
      <c r="F58" s="78"/>
      <c r="G58" s="78"/>
      <c r="H58" s="78"/>
      <c r="I58" s="78"/>
      <c r="J58" s="78"/>
      <c r="K58" s="78"/>
      <c r="L58" s="78"/>
      <c r="M58" s="78"/>
      <c r="N58" s="93"/>
      <c r="O58" s="78"/>
      <c r="P58" s="78"/>
      <c r="Q58" s="78"/>
      <c r="R58" s="78"/>
      <c r="S58" s="78"/>
      <c r="T58" s="78"/>
      <c r="U58" s="427">
        <f>SUM(U46:W56)</f>
        <v>0</v>
      </c>
      <c r="V58" s="428"/>
      <c r="W58" s="428"/>
      <c r="Y58" s="150"/>
      <c r="Z58" s="149"/>
    </row>
    <row r="59" spans="2:26" ht="15.95" customHeight="1" x14ac:dyDescent="0.2">
      <c r="B59" s="94"/>
      <c r="C59" s="78"/>
      <c r="D59" s="78"/>
      <c r="E59" s="78"/>
      <c r="F59" s="78"/>
      <c r="G59" s="78"/>
      <c r="H59" s="78"/>
      <c r="I59" s="78"/>
      <c r="J59" s="78"/>
      <c r="K59" s="78"/>
      <c r="L59" s="78"/>
      <c r="M59" s="78"/>
      <c r="N59" s="93"/>
      <c r="O59" s="78"/>
      <c r="P59" s="78"/>
      <c r="Q59" s="78"/>
      <c r="R59" s="78"/>
      <c r="S59" s="78"/>
      <c r="T59" s="78"/>
      <c r="U59" s="88"/>
      <c r="V59" s="89"/>
      <c r="W59" s="89"/>
      <c r="Y59" s="150"/>
      <c r="Z59" s="149"/>
    </row>
    <row r="60" spans="2:26" ht="15.95" customHeight="1" x14ac:dyDescent="0.2">
      <c r="B60" s="78" t="s">
        <v>209</v>
      </c>
      <c r="C60" s="78"/>
      <c r="D60" s="78"/>
      <c r="E60" s="78"/>
      <c r="F60" s="78"/>
      <c r="G60" s="78"/>
      <c r="H60" s="78"/>
      <c r="I60" s="78"/>
      <c r="J60" s="78"/>
      <c r="K60" s="78"/>
      <c r="L60" s="78"/>
      <c r="M60" s="78"/>
      <c r="N60" s="93"/>
      <c r="O60" s="78"/>
      <c r="P60" s="78"/>
      <c r="Q60" s="78"/>
      <c r="R60" s="78"/>
      <c r="S60" s="78"/>
      <c r="T60" s="78"/>
      <c r="U60" s="427">
        <f>U58</f>
        <v>0</v>
      </c>
      <c r="V60" s="428"/>
      <c r="W60" s="428"/>
      <c r="Y60" s="150"/>
      <c r="Z60" s="310" t="s">
        <v>277</v>
      </c>
    </row>
    <row r="61" spans="2:26" ht="6" customHeight="1" x14ac:dyDescent="0.2">
      <c r="Y61" s="150"/>
      <c r="Z61" s="149"/>
    </row>
    <row r="62" spans="2:26" ht="15.95" customHeight="1" x14ac:dyDescent="0.2">
      <c r="B62" s="64" t="s">
        <v>211</v>
      </c>
      <c r="Y62" s="150"/>
      <c r="Z62" s="149"/>
    </row>
    <row r="63" spans="2:26" ht="15.95" customHeight="1" x14ac:dyDescent="0.2">
      <c r="B63" s="435" t="s">
        <v>169</v>
      </c>
      <c r="C63" s="435"/>
      <c r="D63" s="435"/>
      <c r="E63" s="435"/>
      <c r="F63" s="435"/>
      <c r="G63" s="435"/>
      <c r="H63" s="435"/>
      <c r="I63" s="435"/>
      <c r="J63" s="435"/>
      <c r="K63" s="435"/>
      <c r="L63" s="435"/>
      <c r="M63" s="435"/>
      <c r="N63" s="435"/>
      <c r="O63" s="435"/>
      <c r="P63" s="435"/>
      <c r="S63" s="416" t="s">
        <v>106</v>
      </c>
      <c r="T63" s="416"/>
      <c r="U63" s="411">
        <v>0</v>
      </c>
      <c r="V63" s="411"/>
      <c r="W63" s="411"/>
      <c r="X63" s="85" t="s">
        <v>163</v>
      </c>
      <c r="Y63" s="150"/>
      <c r="Z63" s="417" t="s">
        <v>225</v>
      </c>
    </row>
    <row r="64" spans="2:26" ht="15.95" customHeight="1" x14ac:dyDescent="0.2">
      <c r="B64" s="435" t="s">
        <v>170</v>
      </c>
      <c r="C64" s="435"/>
      <c r="D64" s="435"/>
      <c r="E64" s="435"/>
      <c r="F64" s="435"/>
      <c r="G64" s="435"/>
      <c r="H64" s="435"/>
      <c r="I64" s="435"/>
      <c r="J64" s="435"/>
      <c r="K64" s="435"/>
      <c r="L64" s="435"/>
      <c r="M64" s="435"/>
      <c r="N64" s="435"/>
      <c r="O64" s="435"/>
      <c r="P64" s="435"/>
      <c r="S64" s="416" t="s">
        <v>106</v>
      </c>
      <c r="T64" s="416"/>
      <c r="U64" s="411">
        <v>0</v>
      </c>
      <c r="V64" s="411"/>
      <c r="W64" s="411"/>
      <c r="X64" s="85" t="s">
        <v>163</v>
      </c>
      <c r="Y64" s="150"/>
      <c r="Z64" s="417"/>
    </row>
    <row r="65" spans="2:26" ht="15.95" customHeight="1" x14ac:dyDescent="0.2">
      <c r="B65" s="435" t="s">
        <v>171</v>
      </c>
      <c r="C65" s="435"/>
      <c r="D65" s="435"/>
      <c r="E65" s="435"/>
      <c r="F65" s="435"/>
      <c r="G65" s="435"/>
      <c r="H65" s="435"/>
      <c r="I65" s="435"/>
      <c r="J65" s="435"/>
      <c r="K65" s="435"/>
      <c r="L65" s="435"/>
      <c r="M65" s="435"/>
      <c r="N65" s="435"/>
      <c r="O65" s="435"/>
      <c r="P65" s="435"/>
      <c r="S65" s="416" t="s">
        <v>106</v>
      </c>
      <c r="T65" s="416"/>
      <c r="U65" s="411">
        <v>0</v>
      </c>
      <c r="V65" s="411"/>
      <c r="W65" s="411"/>
      <c r="X65" s="85" t="s">
        <v>163</v>
      </c>
      <c r="Y65" s="150"/>
      <c r="Z65" s="417"/>
    </row>
    <row r="66" spans="2:26" ht="15.95" customHeight="1" x14ac:dyDescent="0.2">
      <c r="B66" s="435" t="s">
        <v>172</v>
      </c>
      <c r="C66" s="435"/>
      <c r="D66" s="435"/>
      <c r="E66" s="435"/>
      <c r="F66" s="435"/>
      <c r="G66" s="435"/>
      <c r="H66" s="435"/>
      <c r="I66" s="435"/>
      <c r="J66" s="435"/>
      <c r="K66" s="435"/>
      <c r="L66" s="435"/>
      <c r="M66" s="435"/>
      <c r="N66" s="435"/>
      <c r="O66" s="435"/>
      <c r="P66" s="435"/>
      <c r="S66" s="416" t="s">
        <v>106</v>
      </c>
      <c r="T66" s="416"/>
      <c r="U66" s="411">
        <v>0</v>
      </c>
      <c r="V66" s="411"/>
      <c r="W66" s="411"/>
      <c r="X66" s="85" t="s">
        <v>163</v>
      </c>
      <c r="Y66" s="150"/>
      <c r="Z66" s="417"/>
    </row>
    <row r="67" spans="2:26" ht="15.95" customHeight="1" x14ac:dyDescent="0.2">
      <c r="B67" s="435" t="s">
        <v>173</v>
      </c>
      <c r="C67" s="435"/>
      <c r="D67" s="435"/>
      <c r="E67" s="435"/>
      <c r="F67" s="435"/>
      <c r="G67" s="435"/>
      <c r="H67" s="435"/>
      <c r="I67" s="435"/>
      <c r="J67" s="435"/>
      <c r="K67" s="435"/>
      <c r="L67" s="435"/>
      <c r="M67" s="435"/>
      <c r="N67" s="435"/>
      <c r="O67" s="435"/>
      <c r="P67" s="435"/>
      <c r="S67" s="416" t="s">
        <v>106</v>
      </c>
      <c r="T67" s="416"/>
      <c r="U67" s="419">
        <v>0</v>
      </c>
      <c r="V67" s="419"/>
      <c r="W67" s="419"/>
      <c r="X67" s="91" t="s">
        <v>163</v>
      </c>
      <c r="Y67" s="150"/>
      <c r="Z67" s="417"/>
    </row>
    <row r="68" spans="2:26" s="90" customFormat="1" ht="6" customHeight="1" x14ac:dyDescent="0.2">
      <c r="K68" s="92"/>
      <c r="L68" s="92"/>
      <c r="M68" s="92"/>
      <c r="N68" s="92"/>
      <c r="O68" s="92"/>
      <c r="P68" s="92"/>
      <c r="Q68" s="92"/>
      <c r="R68" s="92"/>
      <c r="U68" s="81"/>
      <c r="V68" s="81"/>
      <c r="W68" s="81"/>
      <c r="X68" s="84"/>
      <c r="Y68" s="150"/>
      <c r="Z68" s="149"/>
    </row>
    <row r="69" spans="2:26" s="78" customFormat="1" ht="15.95" customHeight="1" x14ac:dyDescent="0.2">
      <c r="B69" s="78" t="s">
        <v>204</v>
      </c>
      <c r="N69" s="93"/>
      <c r="U69" s="427">
        <f>IF(U58-SUM(U63:W67)&lt;0,0,U58-SUM(U63:W67))</f>
        <v>0</v>
      </c>
      <c r="V69" s="428"/>
      <c r="W69" s="428"/>
      <c r="X69" s="93"/>
      <c r="Y69" s="153"/>
      <c r="Z69" s="154"/>
    </row>
    <row r="70" spans="2:26" ht="15.95" customHeight="1" x14ac:dyDescent="0.2">
      <c r="B70" s="78"/>
      <c r="C70" s="78"/>
      <c r="D70" s="78"/>
      <c r="E70" s="78"/>
      <c r="F70" s="78"/>
      <c r="G70" s="78"/>
      <c r="H70" s="78"/>
      <c r="I70" s="78"/>
      <c r="J70" s="78"/>
      <c r="K70" s="78"/>
      <c r="L70" s="78"/>
      <c r="M70" s="78"/>
      <c r="N70" s="93"/>
      <c r="O70" s="78"/>
      <c r="P70" s="78"/>
      <c r="Q70" s="78"/>
      <c r="R70" s="78"/>
      <c r="S70" s="78"/>
      <c r="T70" s="78"/>
      <c r="U70" s="88"/>
      <c r="V70" s="89"/>
      <c r="W70" s="89"/>
      <c r="Y70" s="150"/>
      <c r="Z70" s="149"/>
    </row>
    <row r="71" spans="2:26" s="68" customFormat="1" ht="20.100000000000001" customHeight="1" x14ac:dyDescent="0.2">
      <c r="B71" s="65" t="s">
        <v>208</v>
      </c>
      <c r="C71" s="66"/>
      <c r="D71" s="66"/>
      <c r="E71" s="66"/>
      <c r="F71" s="66"/>
      <c r="G71" s="66"/>
      <c r="H71" s="66"/>
      <c r="I71" s="66"/>
      <c r="J71" s="66"/>
      <c r="K71" s="66"/>
      <c r="L71" s="66"/>
      <c r="M71" s="66"/>
      <c r="N71" s="67"/>
      <c r="O71" s="66"/>
      <c r="P71" s="66"/>
      <c r="Q71" s="66"/>
      <c r="R71" s="66"/>
      <c r="S71" s="66"/>
      <c r="T71" s="66"/>
      <c r="U71" s="66"/>
      <c r="V71" s="66"/>
      <c r="W71" s="66"/>
      <c r="X71" s="67"/>
      <c r="Y71" s="150"/>
      <c r="Z71" s="149"/>
    </row>
    <row r="72" spans="2:26" ht="6" customHeight="1" x14ac:dyDescent="0.2">
      <c r="Y72" s="150"/>
      <c r="Z72" s="149"/>
    </row>
    <row r="73" spans="2:26" ht="15.95" customHeight="1" x14ac:dyDescent="0.2">
      <c r="B73" s="78" t="s">
        <v>212</v>
      </c>
      <c r="Y73" s="150"/>
      <c r="Z73" s="149"/>
    </row>
    <row r="74" spans="2:26" ht="6" customHeight="1" x14ac:dyDescent="0.2">
      <c r="B74" s="78"/>
      <c r="Y74" s="150"/>
      <c r="Z74" s="149"/>
    </row>
    <row r="75" spans="2:26" ht="15.95" customHeight="1" x14ac:dyDescent="0.2">
      <c r="B75" s="7" t="s">
        <v>174</v>
      </c>
      <c r="C75" s="7"/>
      <c r="D75" s="7"/>
      <c r="E75" s="7"/>
      <c r="F75" s="7"/>
      <c r="G75" s="7"/>
      <c r="H75" s="436">
        <f>U69</f>
        <v>0</v>
      </c>
      <c r="I75" s="436"/>
      <c r="J75" s="436"/>
      <c r="K75" s="8" t="s">
        <v>175</v>
      </c>
      <c r="L75" s="79" t="s">
        <v>106</v>
      </c>
      <c r="M75" s="431">
        <f>25%*U69</f>
        <v>0</v>
      </c>
      <c r="N75" s="431"/>
      <c r="O75" s="431"/>
      <c r="P75" s="7"/>
      <c r="Q75" s="7"/>
      <c r="Y75" s="150"/>
      <c r="Z75" s="149"/>
    </row>
    <row r="76" spans="2:26" ht="6" customHeight="1" x14ac:dyDescent="0.2">
      <c r="B76" s="7"/>
      <c r="C76" s="7"/>
      <c r="D76" s="7"/>
      <c r="E76" s="7"/>
      <c r="F76" s="7"/>
      <c r="G76" s="7"/>
      <c r="H76" s="7"/>
      <c r="I76" s="7"/>
      <c r="J76" s="7"/>
      <c r="K76" s="7"/>
      <c r="L76" s="7"/>
      <c r="M76" s="7"/>
      <c r="N76" s="7"/>
      <c r="O76" s="7"/>
      <c r="P76" s="7"/>
      <c r="Q76" s="7"/>
      <c r="Y76" s="150"/>
      <c r="Z76" s="149"/>
    </row>
    <row r="77" spans="2:26" ht="15.95" customHeight="1" x14ac:dyDescent="0.2">
      <c r="B77" s="7" t="s">
        <v>223</v>
      </c>
      <c r="C77" s="7"/>
      <c r="D77" s="7"/>
      <c r="E77" s="7"/>
      <c r="F77" s="7"/>
      <c r="G77" s="7"/>
      <c r="H77" s="7"/>
      <c r="I77" s="7"/>
      <c r="J77" s="7"/>
      <c r="K77" s="7"/>
      <c r="L77" s="7"/>
      <c r="M77" s="7"/>
      <c r="N77" s="7"/>
      <c r="O77" s="7"/>
      <c r="P77" s="7"/>
      <c r="Q77" s="7"/>
      <c r="Y77" s="150"/>
      <c r="Z77" s="417" t="s">
        <v>227</v>
      </c>
    </row>
    <row r="78" spans="2:26" ht="6" customHeight="1" x14ac:dyDescent="0.2">
      <c r="B78" s="7"/>
      <c r="C78" s="7"/>
      <c r="D78" s="7"/>
      <c r="E78" s="7"/>
      <c r="F78" s="7"/>
      <c r="G78" s="7"/>
      <c r="H78" s="7"/>
      <c r="I78" s="7"/>
      <c r="J78" s="7"/>
      <c r="K78" s="7"/>
      <c r="L78" s="7"/>
      <c r="M78" s="7"/>
      <c r="N78" s="7"/>
      <c r="O78" s="7"/>
      <c r="P78" s="7"/>
      <c r="Q78" s="7"/>
      <c r="Y78" s="150"/>
      <c r="Z78" s="417"/>
    </row>
    <row r="79" spans="2:26" ht="15.95" customHeight="1" x14ac:dyDescent="0.2">
      <c r="B79" s="7" t="s">
        <v>176</v>
      </c>
      <c r="C79" s="7"/>
      <c r="D79" s="7"/>
      <c r="E79" s="7"/>
      <c r="F79" s="7"/>
      <c r="G79" s="7"/>
      <c r="H79" s="7"/>
      <c r="I79" s="102">
        <v>0</v>
      </c>
      <c r="J79" s="7" t="s">
        <v>177</v>
      </c>
      <c r="K79" s="8" t="s">
        <v>193</v>
      </c>
      <c r="L79" s="108">
        <v>0</v>
      </c>
      <c r="M79" s="7" t="str">
        <f>"Arbeitstagen in " &amp; EKMonate &amp; " Monaten"</f>
        <v>Arbeitstagen in 0 Monaten</v>
      </c>
      <c r="N79" s="7"/>
      <c r="O79" s="7"/>
      <c r="P79" s="7"/>
      <c r="Q79" s="7"/>
      <c r="Y79" s="150"/>
      <c r="Z79" s="434" t="s">
        <v>243</v>
      </c>
    </row>
    <row r="80" spans="2:26" ht="15.95" customHeight="1" x14ac:dyDescent="0.2">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32">
        <f>IF(EntfernungArbeit=0,0,EntfernungArbeit*KBParameter!C50*Arbeitstage/EKMonate)</f>
        <v>0</v>
      </c>
      <c r="N80" s="432"/>
      <c r="O80" s="432"/>
      <c r="P80" s="8"/>
      <c r="Q80" s="7"/>
      <c r="R80" s="7"/>
      <c r="X80" s="79"/>
      <c r="Y80" s="155"/>
      <c r="Z80" s="417"/>
    </row>
    <row r="81" spans="2:26" ht="15.95" customHeight="1" x14ac:dyDescent="0.2">
      <c r="B81" s="407" t="s">
        <v>213</v>
      </c>
      <c r="C81" s="407"/>
      <c r="D81" s="407"/>
      <c r="E81" s="407"/>
      <c r="F81" s="407"/>
      <c r="G81" s="407"/>
      <c r="H81" s="407"/>
      <c r="I81" s="407"/>
      <c r="J81" s="407"/>
      <c r="K81" s="407"/>
      <c r="L81" s="7"/>
      <c r="M81" s="411">
        <v>0</v>
      </c>
      <c r="N81" s="411"/>
      <c r="O81" s="411"/>
      <c r="P81" s="8" t="s">
        <v>162</v>
      </c>
      <c r="Q81" s="7"/>
      <c r="R81" s="7"/>
      <c r="X81" s="79"/>
      <c r="Y81" s="155"/>
      <c r="Z81" s="417"/>
    </row>
    <row r="82" spans="2:26" ht="15.95" customHeight="1" x14ac:dyDescent="0.2">
      <c r="B82" s="407" t="s">
        <v>191</v>
      </c>
      <c r="C82" s="407"/>
      <c r="D82" s="407"/>
      <c r="E82" s="407"/>
      <c r="F82" s="407"/>
      <c r="G82" s="407"/>
      <c r="H82" s="407"/>
      <c r="I82" s="407"/>
      <c r="J82" s="407"/>
      <c r="K82" s="407"/>
      <c r="L82" s="7"/>
      <c r="M82" s="411">
        <v>0</v>
      </c>
      <c r="N82" s="411"/>
      <c r="O82" s="411"/>
      <c r="P82" s="8" t="s">
        <v>162</v>
      </c>
      <c r="Q82" s="7"/>
      <c r="R82" s="7"/>
      <c r="X82" s="79"/>
      <c r="Y82" s="155"/>
      <c r="Z82" s="417"/>
    </row>
    <row r="83" spans="2:26" ht="15.95" customHeight="1" x14ac:dyDescent="0.2">
      <c r="B83" s="407" t="s">
        <v>214</v>
      </c>
      <c r="C83" s="407"/>
      <c r="D83" s="407"/>
      <c r="E83" s="407"/>
      <c r="F83" s="407"/>
      <c r="G83" s="407"/>
      <c r="H83" s="407"/>
      <c r="I83" s="407"/>
      <c r="J83" s="407"/>
      <c r="K83" s="407"/>
      <c r="L83" s="23"/>
      <c r="M83" s="411">
        <v>0</v>
      </c>
      <c r="N83" s="411"/>
      <c r="O83" s="411"/>
      <c r="P83" s="24" t="s">
        <v>162</v>
      </c>
      <c r="Q83" s="7"/>
      <c r="R83" s="7"/>
      <c r="X83" s="79"/>
      <c r="Y83" s="155"/>
      <c r="Z83" s="417"/>
    </row>
    <row r="84" spans="2:26" ht="15.95" customHeight="1" x14ac:dyDescent="0.2">
      <c r="B84" s="407" t="s">
        <v>215</v>
      </c>
      <c r="C84" s="407"/>
      <c r="D84" s="407"/>
      <c r="E84" s="407"/>
      <c r="F84" s="407"/>
      <c r="G84" s="407"/>
      <c r="H84" s="407"/>
      <c r="I84" s="407"/>
      <c r="J84" s="407"/>
      <c r="K84" s="407"/>
      <c r="L84" s="23"/>
      <c r="M84" s="411">
        <v>0</v>
      </c>
      <c r="N84" s="411"/>
      <c r="O84" s="411"/>
      <c r="P84" s="24" t="s">
        <v>162</v>
      </c>
      <c r="Q84" s="7"/>
      <c r="R84" s="7"/>
      <c r="X84" s="79"/>
      <c r="Y84" s="155"/>
      <c r="Z84" s="417"/>
    </row>
    <row r="85" spans="2:26" ht="15.95" customHeight="1" x14ac:dyDescent="0.2">
      <c r="B85" s="407" t="s">
        <v>215</v>
      </c>
      <c r="C85" s="407"/>
      <c r="D85" s="407"/>
      <c r="E85" s="407"/>
      <c r="F85" s="407"/>
      <c r="G85" s="407"/>
      <c r="H85" s="407"/>
      <c r="I85" s="407"/>
      <c r="J85" s="407"/>
      <c r="K85" s="407"/>
      <c r="L85" s="23"/>
      <c r="M85" s="411">
        <v>0</v>
      </c>
      <c r="N85" s="411"/>
      <c r="O85" s="411"/>
      <c r="P85" s="24" t="s">
        <v>162</v>
      </c>
      <c r="Q85" s="7"/>
      <c r="R85" s="7"/>
      <c r="X85" s="79"/>
      <c r="Y85" s="155"/>
      <c r="Z85" s="417"/>
    </row>
    <row r="86" spans="2:26" ht="15.95" customHeight="1" x14ac:dyDescent="0.2">
      <c r="B86" s="407" t="s">
        <v>215</v>
      </c>
      <c r="C86" s="407"/>
      <c r="D86" s="407"/>
      <c r="E86" s="407"/>
      <c r="F86" s="407"/>
      <c r="G86" s="407"/>
      <c r="H86" s="407"/>
      <c r="I86" s="407"/>
      <c r="J86" s="407"/>
      <c r="K86" s="407"/>
      <c r="L86" s="23"/>
      <c r="M86" s="411">
        <v>0</v>
      </c>
      <c r="N86" s="411"/>
      <c r="O86" s="411"/>
      <c r="P86" s="24" t="s">
        <v>162</v>
      </c>
      <c r="Q86" s="7"/>
      <c r="R86" s="7"/>
      <c r="X86" s="79"/>
      <c r="Y86" s="155"/>
      <c r="Z86" s="417"/>
    </row>
    <row r="87" spans="2:26" ht="15.95" customHeight="1" x14ac:dyDescent="0.2">
      <c r="B87" s="407" t="s">
        <v>215</v>
      </c>
      <c r="C87" s="407"/>
      <c r="D87" s="407"/>
      <c r="E87" s="407"/>
      <c r="F87" s="407"/>
      <c r="G87" s="407"/>
      <c r="H87" s="407"/>
      <c r="I87" s="407"/>
      <c r="J87" s="407"/>
      <c r="K87" s="407"/>
      <c r="L87" s="23"/>
      <c r="M87" s="419">
        <v>0</v>
      </c>
      <c r="N87" s="419"/>
      <c r="O87" s="419"/>
      <c r="P87" s="9" t="s">
        <v>162</v>
      </c>
      <c r="Q87" s="7"/>
      <c r="R87" s="7"/>
      <c r="X87" s="79"/>
      <c r="Y87" s="155"/>
      <c r="Z87" s="417"/>
    </row>
    <row r="88" spans="2:26" ht="3.95" customHeight="1" x14ac:dyDescent="0.2">
      <c r="B88" s="344"/>
      <c r="C88" s="344"/>
      <c r="D88" s="344"/>
      <c r="E88" s="344"/>
      <c r="F88" s="344"/>
      <c r="G88" s="344"/>
      <c r="H88" s="344"/>
      <c r="I88" s="344"/>
      <c r="J88" s="344"/>
      <c r="K88" s="344"/>
      <c r="L88" s="23"/>
      <c r="M88" s="81"/>
      <c r="N88" s="81"/>
      <c r="O88" s="81"/>
      <c r="P88" s="24"/>
      <c r="Q88" s="7"/>
      <c r="R88" s="7"/>
      <c r="X88" s="79"/>
      <c r="Y88" s="155"/>
      <c r="Z88" s="149"/>
    </row>
    <row r="89" spans="2:26" ht="15.95" customHeight="1" x14ac:dyDescent="0.2">
      <c r="B89" s="45" t="s">
        <v>178</v>
      </c>
      <c r="C89" s="45"/>
      <c r="D89" s="45"/>
      <c r="E89" s="45"/>
      <c r="F89" s="45"/>
      <c r="G89" s="45"/>
      <c r="H89" s="45"/>
      <c r="I89" s="45"/>
      <c r="J89" s="45"/>
      <c r="K89" s="45"/>
      <c r="L89" s="46"/>
      <c r="M89" s="433">
        <f>SUM(M80:O87)</f>
        <v>0</v>
      </c>
      <c r="N89" s="433"/>
      <c r="O89" s="433"/>
      <c r="P89" s="23"/>
      <c r="Q89" s="7"/>
      <c r="R89" s="7"/>
      <c r="X89" s="79"/>
      <c r="Y89" s="155"/>
      <c r="Z89" s="417" t="s">
        <v>226</v>
      </c>
    </row>
    <row r="90" spans="2:26" ht="3.95" customHeight="1" x14ac:dyDescent="0.2">
      <c r="B90" s="7"/>
      <c r="C90" s="7"/>
      <c r="D90" s="7"/>
      <c r="E90" s="7"/>
      <c r="F90" s="7"/>
      <c r="G90" s="7"/>
      <c r="H90" s="7"/>
      <c r="I90" s="7"/>
      <c r="J90" s="7"/>
      <c r="K90" s="7"/>
      <c r="L90" s="7"/>
      <c r="M90" s="7"/>
      <c r="N90" s="7"/>
      <c r="O90" s="7"/>
      <c r="P90" s="7"/>
      <c r="Q90" s="7"/>
      <c r="Y90" s="150"/>
      <c r="Z90" s="417"/>
    </row>
    <row r="91" spans="2:26" ht="15.95" customHeight="1" x14ac:dyDescent="0.2">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30">
        <f>IF(M75&gt;M89,M75,M89)</f>
        <v>0</v>
      </c>
      <c r="V91" s="430"/>
      <c r="W91" s="430"/>
      <c r="X91" s="84" t="s">
        <v>163</v>
      </c>
      <c r="Y91" s="150"/>
      <c r="Z91" s="417"/>
    </row>
    <row r="92" spans="2:26" ht="15.95" customHeight="1" x14ac:dyDescent="0.2">
      <c r="B92" s="78"/>
      <c r="C92" s="78"/>
      <c r="D92" s="78"/>
      <c r="E92" s="78"/>
      <c r="F92" s="78"/>
      <c r="G92" s="78"/>
      <c r="H92" s="78"/>
      <c r="I92" s="78"/>
      <c r="J92" s="78"/>
      <c r="K92" s="78"/>
      <c r="L92" s="78"/>
      <c r="M92" s="78"/>
      <c r="N92" s="93"/>
      <c r="O92" s="78"/>
      <c r="P92" s="78"/>
      <c r="Q92" s="78"/>
      <c r="R92" s="78"/>
      <c r="S92" s="78"/>
      <c r="T92" s="78"/>
      <c r="U92" s="88"/>
      <c r="V92" s="89"/>
      <c r="W92" s="89"/>
      <c r="Y92" s="150"/>
      <c r="Z92" s="417"/>
    </row>
    <row r="93" spans="2:26" s="68" customFormat="1" ht="20.100000000000001" customHeight="1" x14ac:dyDescent="0.2">
      <c r="B93" s="65" t="s">
        <v>322</v>
      </c>
      <c r="C93" s="66"/>
      <c r="D93" s="66"/>
      <c r="E93" s="66"/>
      <c r="F93" s="66"/>
      <c r="G93" s="66"/>
      <c r="H93" s="66"/>
      <c r="I93" s="66"/>
      <c r="J93" s="66"/>
      <c r="K93" s="66"/>
      <c r="L93" s="66"/>
      <c r="M93" s="66"/>
      <c r="N93" s="67"/>
      <c r="O93" s="66"/>
      <c r="P93" s="66"/>
      <c r="Q93" s="66"/>
      <c r="R93" s="66"/>
      <c r="S93" s="66"/>
      <c r="T93" s="66"/>
      <c r="U93" s="66"/>
      <c r="V93" s="66"/>
      <c r="W93" s="66"/>
      <c r="X93" s="67"/>
      <c r="Y93" s="150"/>
      <c r="Z93" s="149"/>
    </row>
    <row r="94" spans="2:26" ht="6" customHeight="1" x14ac:dyDescent="0.2">
      <c r="Y94" s="150"/>
      <c r="Z94" s="149"/>
    </row>
    <row r="95" spans="2:26" s="90" customFormat="1" ht="15.95" customHeight="1" x14ac:dyDescent="0.2">
      <c r="B95" s="90" t="s">
        <v>335</v>
      </c>
      <c r="U95" s="429">
        <f>'Einkommen selbst. Tätigkeit'!G56</f>
        <v>0</v>
      </c>
      <c r="V95" s="429"/>
      <c r="W95" s="429"/>
      <c r="X95" s="91" t="s">
        <v>162</v>
      </c>
      <c r="Y95" s="150"/>
      <c r="Z95" s="350" t="s">
        <v>352</v>
      </c>
    </row>
    <row r="96" spans="2:26" s="90" customFormat="1" ht="3.95" customHeight="1" x14ac:dyDescent="0.2">
      <c r="K96" s="92"/>
      <c r="L96" s="92"/>
      <c r="M96" s="92"/>
      <c r="N96" s="92"/>
      <c r="O96" s="92"/>
      <c r="P96" s="92"/>
      <c r="Q96" s="92"/>
      <c r="R96" s="92"/>
      <c r="U96" s="81"/>
      <c r="V96" s="81"/>
      <c r="W96" s="81"/>
      <c r="X96" s="84"/>
      <c r="Y96" s="150"/>
      <c r="Z96" s="149"/>
    </row>
    <row r="97" spans="2:26" ht="15.95" customHeight="1" x14ac:dyDescent="0.2">
      <c r="B97" s="78" t="s">
        <v>104</v>
      </c>
      <c r="U97" s="427">
        <f>U69-U91+U95</f>
        <v>0</v>
      </c>
      <c r="V97" s="428"/>
      <c r="W97" s="428"/>
      <c r="Y97" s="150"/>
      <c r="Z97" s="417" t="s">
        <v>228</v>
      </c>
    </row>
    <row r="98" spans="2:26" ht="15.95" customHeight="1" x14ac:dyDescent="0.2">
      <c r="Y98" s="150"/>
      <c r="Z98" s="417"/>
    </row>
    <row r="99" spans="2:26" s="68" customFormat="1" ht="20.100000000000001" customHeight="1" x14ac:dyDescent="0.2">
      <c r="B99" s="95" t="s">
        <v>218</v>
      </c>
      <c r="C99" s="66"/>
      <c r="D99" s="66"/>
      <c r="E99" s="66"/>
      <c r="F99" s="66"/>
      <c r="G99" s="66"/>
      <c r="H99" s="66"/>
      <c r="I99" s="66"/>
      <c r="J99" s="66"/>
      <c r="K99" s="66"/>
      <c r="L99" s="66"/>
      <c r="M99" s="66"/>
      <c r="N99" s="67"/>
      <c r="O99" s="66"/>
      <c r="P99" s="66"/>
      <c r="Q99" s="66"/>
      <c r="R99" s="66"/>
      <c r="S99" s="66"/>
      <c r="T99" s="66"/>
      <c r="U99" s="66"/>
      <c r="V99" s="66"/>
      <c r="W99" s="66"/>
      <c r="X99" s="67"/>
      <c r="Y99" s="150"/>
      <c r="Z99" s="149"/>
    </row>
    <row r="100" spans="2:26" ht="6" customHeight="1" x14ac:dyDescent="0.2">
      <c r="Y100" s="150"/>
      <c r="Z100" s="149"/>
    </row>
    <row r="101" spans="2:26" ht="15.95" customHeight="1" x14ac:dyDescent="0.2">
      <c r="B101" s="79" t="s">
        <v>217</v>
      </c>
      <c r="G101" s="79" t="str">
        <f>VLOOKUP(Dropdown_BetreutePerson,BetreutePersonMatrix,2,FALSE)</f>
        <v>Bitte wählen…</v>
      </c>
      <c r="R101" s="96" t="str">
        <f>IF(Dropdown_BetreutePerson=1," &lt;&lt;&lt; Auswahl treffen!","")</f>
        <v xml:space="preserve"> &lt;&lt;&lt; Auswahl treffen!</v>
      </c>
      <c r="Y101" s="150"/>
      <c r="Z101" s="418" t="s">
        <v>409</v>
      </c>
    </row>
    <row r="102" spans="2:26" ht="8.1" customHeight="1" x14ac:dyDescent="0.2">
      <c r="Y102" s="150"/>
      <c r="Z102" s="418"/>
    </row>
    <row r="103" spans="2:26" ht="15.95" customHeight="1" x14ac:dyDescent="0.2">
      <c r="B103" s="79" t="s">
        <v>114</v>
      </c>
      <c r="K103" s="93">
        <f>KBParameter!C32</f>
        <v>1</v>
      </c>
      <c r="L103" s="79" t="s">
        <v>113</v>
      </c>
      <c r="Q103" s="97" t="str">
        <f>"(" &amp; KBParameter!D32 &amp; ")"</f>
        <v>(0 EUR bis 1100,99 EUR)</v>
      </c>
      <c r="Y103" s="150"/>
      <c r="Z103" s="418"/>
    </row>
    <row r="104" spans="2:26" ht="3.95" customHeight="1" x14ac:dyDescent="0.2">
      <c r="Y104" s="150"/>
      <c r="Z104" s="418"/>
    </row>
    <row r="105" spans="2:26" ht="15.95" customHeight="1" x14ac:dyDescent="0.2">
      <c r="B105" s="79" t="s">
        <v>112</v>
      </c>
      <c r="C105" s="101"/>
      <c r="D105" s="79" t="str">
        <f>"weitere, vor-/gleichrangig berechtigte Person" &amp; IF(AnzahlUHBerechtigte&lt;&gt;1,"en","") &amp; " besteht Unterhalts-, aber KEINE Kostenbeitragspflicht."</f>
        <v>weitere, vor-/gleichrangig berechtigte Personen besteht Unterhalts-, aber KEINE Kostenbeitragspflicht.</v>
      </c>
      <c r="V105" s="383" t="str">
        <f>IF(AnzahlUHBerechtigte="","&lt;&lt; Pflichtfeld","")</f>
        <v>&lt;&lt; Pflichtfeld</v>
      </c>
      <c r="Y105" s="150"/>
      <c r="Z105" s="418"/>
    </row>
    <row r="106" spans="2:26" ht="3.95" customHeight="1" x14ac:dyDescent="0.2">
      <c r="Y106" s="150"/>
      <c r="Z106" s="418"/>
    </row>
    <row r="107" spans="2:26" ht="15.95" customHeight="1" x14ac:dyDescent="0.2">
      <c r="B107" s="79" t="str">
        <f>IF(AND(DATEDIF(GebDatJM,KBZeitraumVon,"D")&gt;=6574,VorläufigeEKGruppe&gt;13)=TRUE,"Gemäß § 6 KostenbeitragsV erfolgt eine Begrenzung auf Gruppe",IF(KBParameter!C44=KBParameter!C32,"Gemäß § 4 KostenbeitragsV erfolgt KEINE Umgruppierung, die Gruppe ","Gemäß § 4 KostenbeitragsV erfolgt eine Umgruppierung in die Gruppe"))</f>
        <v xml:space="preserve">Gemäß § 4 KostenbeitragsV erfolgt KEINE Umgruppierung, die Gruppe </v>
      </c>
      <c r="O107" s="93">
        <f>KBParameter!C44</f>
        <v>1</v>
      </c>
      <c r="P107" s="79" t="str">
        <f>IF(KBParameter!C44=KBParameter!C32," ist weiterhin maßgeblich.","der Tabelle.")</f>
        <v xml:space="preserve"> ist weiterhin maßgeblich.</v>
      </c>
      <c r="Y107" s="150"/>
      <c r="Z107" s="418"/>
    </row>
    <row r="108" spans="2:26" ht="6" customHeight="1" x14ac:dyDescent="0.2">
      <c r="Y108" s="150"/>
      <c r="Z108" s="418" t="s">
        <v>378</v>
      </c>
    </row>
    <row r="109" spans="2:26" ht="15.95" customHeight="1" x14ac:dyDescent="0.2">
      <c r="B109" s="78" t="str">
        <f>"Vorläufiger Kostenbeitrag nach Beitragsstufe " &amp; VLOOKUP(Dropdown_BetreutePerson,Dropdownfelder!A26:E30,4,FALSE)</f>
        <v xml:space="preserve">Vorläufiger Kostenbeitrag nach Beitragsstufe  </v>
      </c>
      <c r="I109" s="107"/>
      <c r="L109" s="107" t="str">
        <f>IF(Dropdown_BetreutePerson&lt;&gt;1,VLOOKUP(Dropdown_BetreutePerson,Dropdownfelder!A26:E30,5,FALSE),"")</f>
        <v/>
      </c>
      <c r="U109" s="427">
        <f>IF(ISERROR(HLOOKUP(KBParameter!C45,KBParameter!C46:F47,2,FALSE)),0,HLOOKUP(KBParameter!C45,KBParameter!C46:F47,2,FALSE))</f>
        <v>0</v>
      </c>
      <c r="V109" s="428"/>
      <c r="W109" s="428"/>
      <c r="Y109" s="150"/>
      <c r="Z109" s="418"/>
    </row>
    <row r="110" spans="2:26" ht="15.95" customHeight="1" x14ac:dyDescent="0.2">
      <c r="Y110" s="150"/>
      <c r="Z110" s="149"/>
    </row>
    <row r="111" spans="2:26" ht="15.95" customHeight="1" x14ac:dyDescent="0.2">
      <c r="B111" s="78" t="s">
        <v>282</v>
      </c>
      <c r="Y111" s="150"/>
      <c r="Z111" s="418" t="s">
        <v>381</v>
      </c>
    </row>
    <row r="112" spans="2:26" ht="6" customHeight="1" x14ac:dyDescent="0.2">
      <c r="B112" s="78"/>
      <c r="Y112" s="150"/>
      <c r="Z112" s="418"/>
    </row>
    <row r="113" spans="2:26" s="97" customFormat="1" ht="15.95" customHeight="1" x14ac:dyDescent="0.2">
      <c r="B113" s="97" t="str">
        <f>VLOOKUP(Dropdown_Schmälerung,SchmälerungMatrix,2,FALSE)</f>
        <v>Bitte wählen…</v>
      </c>
      <c r="N113" s="86"/>
      <c r="Y113" s="150"/>
      <c r="Z113" s="418"/>
    </row>
    <row r="114" spans="2:26" s="97" customFormat="1" ht="15.95" customHeight="1" x14ac:dyDescent="0.2">
      <c r="B114" s="97" t="str">
        <f>IF(AND(Dropdown_Schmälerung=2,AnzahlUHBerechtigte=0)=TRUE,"",IF(Dropdown_Schmälerung=1,"Auswahl treffen!",IF(OR(AND(Dropdown_Schmälerung=2,U114&gt;0)=TRUE,AND(Dropdown_Schmälerung=3,U114&lt;=0)=TRUE),"Falsche Auswahl!","Reduzierungsbetrag")))</f>
        <v>Auswahl treffen!</v>
      </c>
      <c r="N114" s="86"/>
      <c r="U114" s="429">
        <f>IF(Dropdownfelder!A33=3,Schmälerungsverbot!U166,0)</f>
        <v>0</v>
      </c>
      <c r="V114" s="429"/>
      <c r="W114" s="429"/>
      <c r="X114" s="98" t="s">
        <v>163</v>
      </c>
      <c r="Y114" s="150"/>
      <c r="Z114" s="351" t="s">
        <v>369</v>
      </c>
    </row>
    <row r="115" spans="2:26" s="90" customFormat="1" ht="6" customHeight="1" x14ac:dyDescent="0.2">
      <c r="B115" s="96"/>
      <c r="K115" s="92"/>
      <c r="L115" s="92"/>
      <c r="M115" s="92"/>
      <c r="N115" s="92"/>
      <c r="O115" s="92"/>
      <c r="P115" s="92"/>
      <c r="Q115" s="92"/>
      <c r="R115" s="92"/>
      <c r="X115" s="84"/>
      <c r="Y115" s="150"/>
      <c r="Z115" s="151"/>
    </row>
    <row r="116" spans="2:26" s="90" customFormat="1" ht="15.95" customHeight="1" x14ac:dyDescent="0.2">
      <c r="B116" s="97" t="s">
        <v>375</v>
      </c>
      <c r="K116" s="92"/>
      <c r="L116" s="92"/>
      <c r="M116" s="92"/>
      <c r="N116" s="92"/>
      <c r="O116" s="92"/>
      <c r="P116" s="92"/>
      <c r="Q116" s="92"/>
      <c r="R116" s="92"/>
      <c r="U116" s="425">
        <f>IF(VorläufigerKB-U114&lt;0,0,VorläufigerKB-U114)</f>
        <v>0</v>
      </c>
      <c r="V116" s="426"/>
      <c r="W116" s="426"/>
      <c r="X116" s="84"/>
      <c r="Y116" s="150"/>
      <c r="Z116" s="151"/>
    </row>
    <row r="117" spans="2:26" s="90" customFormat="1" ht="15.95" customHeight="1" x14ac:dyDescent="0.2">
      <c r="B117" s="97"/>
      <c r="K117" s="92"/>
      <c r="L117" s="92"/>
      <c r="M117" s="92"/>
      <c r="N117" s="92"/>
      <c r="O117" s="92"/>
      <c r="P117" s="92"/>
      <c r="Q117" s="92"/>
      <c r="R117" s="92"/>
      <c r="U117" s="388"/>
      <c r="V117" s="389"/>
      <c r="W117" s="389"/>
      <c r="X117" s="84"/>
      <c r="Y117" s="150"/>
      <c r="Z117" s="151"/>
    </row>
    <row r="118" spans="2:26" s="90" customFormat="1" ht="15.95" customHeight="1" x14ac:dyDescent="0.2">
      <c r="B118" s="78" t="s">
        <v>387</v>
      </c>
      <c r="K118" s="92"/>
      <c r="L118" s="92"/>
      <c r="M118" s="92"/>
      <c r="N118" s="92"/>
      <c r="O118" s="92"/>
      <c r="P118" s="92"/>
      <c r="Q118" s="92"/>
      <c r="R118" s="92"/>
      <c r="U118" s="385"/>
      <c r="V118" s="386"/>
      <c r="W118" s="386"/>
      <c r="X118" s="84"/>
      <c r="Y118" s="150"/>
      <c r="Z118" s="151"/>
    </row>
    <row r="119" spans="2:26" s="90" customFormat="1" ht="6" customHeight="1" x14ac:dyDescent="0.2">
      <c r="B119" s="96"/>
      <c r="K119" s="92"/>
      <c r="L119" s="92"/>
      <c r="M119" s="92"/>
      <c r="N119" s="92"/>
      <c r="O119" s="92"/>
      <c r="P119" s="92"/>
      <c r="Q119" s="92"/>
      <c r="R119" s="92"/>
      <c r="U119" s="385"/>
      <c r="V119" s="386"/>
      <c r="W119" s="386"/>
      <c r="X119" s="84"/>
      <c r="Y119" s="150"/>
      <c r="Z119" s="151"/>
    </row>
    <row r="120" spans="2:26" s="90" customFormat="1" ht="15.95" customHeight="1" x14ac:dyDescent="0.2">
      <c r="B120" s="90" t="str">
        <f>VLOOKUP(Dropdownfelder!A136,Dropdownfelder!A137:C140,2,FALSE)</f>
        <v>Bitte wählen…</v>
      </c>
      <c r="K120" s="92"/>
      <c r="L120" s="92"/>
      <c r="M120" s="92"/>
      <c r="N120" s="92"/>
      <c r="O120" s="92"/>
      <c r="P120" s="92"/>
      <c r="Q120" s="92"/>
      <c r="R120" s="92"/>
      <c r="Y120" s="150"/>
      <c r="Z120" s="151"/>
    </row>
    <row r="121" spans="2:26" s="90" customFormat="1" ht="15.95" customHeight="1" x14ac:dyDescent="0.2">
      <c r="B121" s="97" t="str">
        <f>IF(Dropdownfelder!A136=1,"Auswahl treffen!",VLOOKUP(Dropdownfelder!A136,Dropdownfelder!A137:C140,3,FALSE))</f>
        <v>Auswahl treffen!</v>
      </c>
      <c r="K121" s="92"/>
      <c r="L121" s="92"/>
      <c r="M121" s="92"/>
      <c r="N121" s="92"/>
      <c r="O121" s="92"/>
      <c r="P121" s="92"/>
      <c r="Q121" s="92"/>
      <c r="R121" s="92"/>
      <c r="U121" s="429">
        <f>IF(Dropdownfelder!A136=2,Hauptberechnung!U116/2,0)</f>
        <v>0</v>
      </c>
      <c r="V121" s="429"/>
      <c r="W121" s="429"/>
      <c r="X121" s="387" t="s">
        <v>163</v>
      </c>
      <c r="Y121" s="150"/>
      <c r="Z121" s="151"/>
    </row>
    <row r="122" spans="2:26" s="90" customFormat="1" ht="3.95" customHeight="1" x14ac:dyDescent="0.2">
      <c r="B122" s="97"/>
      <c r="K122" s="92"/>
      <c r="L122" s="92"/>
      <c r="M122" s="92"/>
      <c r="N122" s="92"/>
      <c r="O122" s="92"/>
      <c r="P122" s="92"/>
      <c r="Q122" s="92"/>
      <c r="R122" s="92"/>
      <c r="U122" s="81"/>
      <c r="V122" s="81"/>
      <c r="W122" s="81"/>
      <c r="X122" s="387"/>
      <c r="Y122" s="150"/>
      <c r="Z122" s="151"/>
    </row>
    <row r="123" spans="2:26" s="90" customFormat="1" ht="15.95" customHeight="1" x14ac:dyDescent="0.2">
      <c r="B123" s="97" t="s">
        <v>375</v>
      </c>
      <c r="F123" s="383"/>
      <c r="K123" s="92"/>
      <c r="L123" s="92"/>
      <c r="M123" s="92"/>
      <c r="N123" s="92"/>
      <c r="O123" s="92"/>
      <c r="P123" s="92"/>
      <c r="Q123" s="92"/>
      <c r="R123" s="92"/>
      <c r="U123" s="425">
        <f>U116-U121</f>
        <v>0</v>
      </c>
      <c r="V123" s="426"/>
      <c r="W123" s="426"/>
      <c r="X123" s="84"/>
      <c r="Y123" s="150"/>
      <c r="Z123" s="151"/>
    </row>
    <row r="124" spans="2:26" s="90" customFormat="1" ht="6" customHeight="1" thickBot="1" x14ac:dyDescent="0.25">
      <c r="B124" s="96"/>
      <c r="K124" s="92"/>
      <c r="L124" s="92"/>
      <c r="M124" s="92"/>
      <c r="N124" s="92"/>
      <c r="O124" s="92"/>
      <c r="P124" s="92"/>
      <c r="Q124" s="92"/>
      <c r="R124" s="92"/>
      <c r="U124" s="81"/>
      <c r="V124" s="81"/>
      <c r="W124" s="81"/>
      <c r="X124" s="84"/>
      <c r="Y124" s="150"/>
      <c r="Z124" s="417" t="s">
        <v>229</v>
      </c>
    </row>
    <row r="125" spans="2:26" ht="20.100000000000001" customHeight="1" thickBot="1" x14ac:dyDescent="0.25">
      <c r="B125" s="78" t="s">
        <v>91</v>
      </c>
      <c r="U125" s="422">
        <f>ROUND(U123,0)</f>
        <v>0</v>
      </c>
      <c r="V125" s="423"/>
      <c r="W125" s="424"/>
      <c r="X125" s="99"/>
      <c r="Y125" s="150"/>
      <c r="Z125" s="417"/>
    </row>
    <row r="126" spans="2:26" ht="15.95" customHeight="1" x14ac:dyDescent="0.2">
      <c r="B126" s="100" t="s">
        <v>117</v>
      </c>
      <c r="Y126" s="150"/>
      <c r="Z126" s="417"/>
    </row>
    <row r="127" spans="2:26" ht="6" customHeight="1" x14ac:dyDescent="0.2">
      <c r="B127" s="100"/>
      <c r="Y127" s="150"/>
      <c r="Z127" s="397"/>
    </row>
    <row r="128" spans="2:26" ht="15.95" customHeight="1" x14ac:dyDescent="0.2">
      <c r="Y128" s="150"/>
      <c r="Z128" s="151"/>
    </row>
    <row r="129" spans="2:26" ht="15.95" customHeight="1" x14ac:dyDescent="0.2">
      <c r="B129" s="398"/>
      <c r="C129" s="398"/>
      <c r="D129" s="398"/>
      <c r="E129" s="398"/>
      <c r="F129" s="398"/>
      <c r="G129" s="398"/>
      <c r="H129" s="398"/>
      <c r="I129" s="398"/>
      <c r="J129" s="398"/>
      <c r="K129" s="398"/>
      <c r="Y129" s="150"/>
      <c r="Z129" s="151"/>
    </row>
    <row r="130" spans="2:26" ht="15.95" customHeight="1" x14ac:dyDescent="0.2">
      <c r="B130" s="97" t="s">
        <v>397</v>
      </c>
      <c r="Y130" s="150"/>
      <c r="Z130" s="151"/>
    </row>
  </sheetData>
  <sheetProtection sheet="1" objects="1" scenarios="1" autoFilter="0"/>
  <mergeCells count="122">
    <mergeCell ref="U32:W32"/>
    <mergeCell ref="U34:W34"/>
    <mergeCell ref="K55:R55"/>
    <mergeCell ref="U55:W55"/>
    <mergeCell ref="U60:W60"/>
    <mergeCell ref="U58:W58"/>
    <mergeCell ref="K56:R56"/>
    <mergeCell ref="S55:T55"/>
    <mergeCell ref="K39:M39"/>
    <mergeCell ref="K46:M46"/>
    <mergeCell ref="S52:T52"/>
    <mergeCell ref="S53:T53"/>
    <mergeCell ref="S54:T54"/>
    <mergeCell ref="K32:M32"/>
    <mergeCell ref="U38:W38"/>
    <mergeCell ref="B38:I38"/>
    <mergeCell ref="B39:I39"/>
    <mergeCell ref="U51:W51"/>
    <mergeCell ref="U53:W53"/>
    <mergeCell ref="K54:R54"/>
    <mergeCell ref="K52:R52"/>
    <mergeCell ref="U52:W52"/>
    <mergeCell ref="U54:W54"/>
    <mergeCell ref="K53:R53"/>
    <mergeCell ref="K41:M41"/>
    <mergeCell ref="K43:M43"/>
    <mergeCell ref="U46:W46"/>
    <mergeCell ref="K38:M38"/>
    <mergeCell ref="U41:W41"/>
    <mergeCell ref="U69:W69"/>
    <mergeCell ref="B82:K82"/>
    <mergeCell ref="B63:P63"/>
    <mergeCell ref="B66:P66"/>
    <mergeCell ref="H75:J75"/>
    <mergeCell ref="B65:P65"/>
    <mergeCell ref="B64:P64"/>
    <mergeCell ref="U66:W66"/>
    <mergeCell ref="K44:M44"/>
    <mergeCell ref="U64:W64"/>
    <mergeCell ref="U67:W67"/>
    <mergeCell ref="B67:P67"/>
    <mergeCell ref="U56:W56"/>
    <mergeCell ref="S56:T56"/>
    <mergeCell ref="B87:K87"/>
    <mergeCell ref="M83:O83"/>
    <mergeCell ref="M89:O89"/>
    <mergeCell ref="U121:W121"/>
    <mergeCell ref="Z101:Z107"/>
    <mergeCell ref="U123:W123"/>
    <mergeCell ref="Z79:Z87"/>
    <mergeCell ref="Z89:Z92"/>
    <mergeCell ref="B86:K86"/>
    <mergeCell ref="M86:O86"/>
    <mergeCell ref="M87:O87"/>
    <mergeCell ref="M85:O85"/>
    <mergeCell ref="U109:W109"/>
    <mergeCell ref="U114:W114"/>
    <mergeCell ref="Z97:Z98"/>
    <mergeCell ref="B83:K83"/>
    <mergeCell ref="B84:K84"/>
    <mergeCell ref="B85:K85"/>
    <mergeCell ref="U125:W125"/>
    <mergeCell ref="U116:W116"/>
    <mergeCell ref="U97:W97"/>
    <mergeCell ref="U95:W95"/>
    <mergeCell ref="U91:W91"/>
    <mergeCell ref="M75:O75"/>
    <mergeCell ref="Z124:Z126"/>
    <mergeCell ref="Z111:Z113"/>
    <mergeCell ref="Z108:Z109"/>
    <mergeCell ref="M80:O80"/>
    <mergeCell ref="Z77:Z78"/>
    <mergeCell ref="M82:O82"/>
    <mergeCell ref="M84:O84"/>
    <mergeCell ref="K9:R9"/>
    <mergeCell ref="T9:W9"/>
    <mergeCell ref="S63:T63"/>
    <mergeCell ref="S64:T64"/>
    <mergeCell ref="S65:T65"/>
    <mergeCell ref="S66:T66"/>
    <mergeCell ref="S67:T67"/>
    <mergeCell ref="Z7:Z11"/>
    <mergeCell ref="Z16:Z17"/>
    <mergeCell ref="U65:W65"/>
    <mergeCell ref="U63:W63"/>
    <mergeCell ref="U36:W36"/>
    <mergeCell ref="U37:W37"/>
    <mergeCell ref="U39:W39"/>
    <mergeCell ref="K36:M36"/>
    <mergeCell ref="Z13:Z14"/>
    <mergeCell ref="Z19:Z22"/>
    <mergeCell ref="Z28:Z39"/>
    <mergeCell ref="Z50:Z56"/>
    <mergeCell ref="Z63:Z67"/>
    <mergeCell ref="K37:M37"/>
    <mergeCell ref="K33:M33"/>
    <mergeCell ref="K34:M34"/>
    <mergeCell ref="U33:W33"/>
    <mergeCell ref="K1:N1"/>
    <mergeCell ref="U50:W50"/>
    <mergeCell ref="B81:K81"/>
    <mergeCell ref="V1:W1"/>
    <mergeCell ref="B29:G29"/>
    <mergeCell ref="B30:G30"/>
    <mergeCell ref="U28:W28"/>
    <mergeCell ref="U29:W29"/>
    <mergeCell ref="U30:W30"/>
    <mergeCell ref="K29:M29"/>
    <mergeCell ref="K35:M35"/>
    <mergeCell ref="K11:W11"/>
    <mergeCell ref="K15:W15"/>
    <mergeCell ref="K17:M17"/>
    <mergeCell ref="K21:M21"/>
    <mergeCell ref="K13:M13"/>
    <mergeCell ref="K28:M28"/>
    <mergeCell ref="K30:M30"/>
    <mergeCell ref="K31:M31"/>
    <mergeCell ref="U31:W31"/>
    <mergeCell ref="R1:S1"/>
    <mergeCell ref="O21:Q21"/>
    <mergeCell ref="U35:W35"/>
    <mergeCell ref="M81:O81"/>
  </mergeCells>
  <phoneticPr fontId="2" type="noConversion"/>
  <conditionalFormatting sqref="U125:W125 U109:W109 U97:W97 U69:W70 U58:W60 U92:W92 U123:W123 U116:W119">
    <cfRule type="cellIs" dxfId="63" priority="24" stopIfTrue="1" operator="equal">
      <formula>"&lt;&lt;&lt; Auswahl"</formula>
    </cfRule>
  </conditionalFormatting>
  <conditionalFormatting sqref="U96:W96 U124:W124 U63:W68 M81:O83 K28:M40 U28:W40 U52:W57 M88:O88">
    <cfRule type="cellIs" dxfId="62" priority="25" stopIfTrue="1" operator="equal">
      <formula>0</formula>
    </cfRule>
    <cfRule type="cellIs" dxfId="61" priority="26" stopIfTrue="1" operator="greaterThan">
      <formula>0</formula>
    </cfRule>
    <cfRule type="cellIs" dxfId="60" priority="27" stopIfTrue="1" operator="lessThan">
      <formula>0</formula>
    </cfRule>
  </conditionalFormatting>
  <conditionalFormatting sqref="K96:R96 K68:R68 K57:R57 K115:R124">
    <cfRule type="cellIs" dxfId="59" priority="28" stopIfTrue="1" operator="equal">
      <formula>"auf mtl. Betrag umgelegt"</formula>
    </cfRule>
  </conditionalFormatting>
  <conditionalFormatting sqref="C105 I79 L79">
    <cfRule type="cellIs" dxfId="58" priority="29" stopIfTrue="1" operator="equal">
      <formula>0</formula>
    </cfRule>
  </conditionalFormatting>
  <conditionalFormatting sqref="B82">
    <cfRule type="cellIs" dxfId="57" priority="30" stopIfTrue="1" operator="equal">
      <formula>"Sonstiger berufsbedingter Aufwand, z.B. Spesen"</formula>
    </cfRule>
  </conditionalFormatting>
  <conditionalFormatting sqref="B63">
    <cfRule type="cellIs" dxfId="56" priority="31" stopIfTrue="1" operator="equal">
      <formula>"Beitrag zur Altersvorsorge"</formula>
    </cfRule>
  </conditionalFormatting>
  <conditionalFormatting sqref="B64">
    <cfRule type="cellIs" dxfId="55" priority="32" stopIfTrue="1" operator="equal">
      <formula>"Beitrag zur Krankenversicherung"</formula>
    </cfRule>
  </conditionalFormatting>
  <conditionalFormatting sqref="B65">
    <cfRule type="cellIs" dxfId="54" priority="33" stopIfTrue="1" operator="equal">
      <formula>"Beitrag zur Pflegeversicherung"</formula>
    </cfRule>
  </conditionalFormatting>
  <conditionalFormatting sqref="B66">
    <cfRule type="cellIs" dxfId="53" priority="34" stopIfTrue="1" operator="equal">
      <formula>"Beitrag zur Arbeitslosenversicherung"</formula>
    </cfRule>
  </conditionalFormatting>
  <conditionalFormatting sqref="B67">
    <cfRule type="cellIs" dxfId="52" priority="35" stopIfTrue="1" operator="equal">
      <formula>"Sonstiger Beitrag"</formula>
    </cfRule>
  </conditionalFormatting>
  <conditionalFormatting sqref="B81:K81">
    <cfRule type="cellIs" dxfId="51" priority="36" stopIfTrue="1" operator="equal">
      <formula>"Mtl. Beitrag zu öff./priv. Versicherungen u.ä. Einr."</formula>
    </cfRule>
  </conditionalFormatting>
  <conditionalFormatting sqref="B83:K83">
    <cfRule type="cellIs" dxfId="50" priority="37" stopIfTrue="1" operator="equal">
      <formula>"Schuldverpflichtungen"</formula>
    </cfRule>
  </conditionalFormatting>
  <conditionalFormatting sqref="B87:K88">
    <cfRule type="cellIs" dxfId="49" priority="38" stopIfTrue="1" operator="equal">
      <formula>"Sonstige Belastungen iSd § 93 Abs. 3 SGB VIII"</formula>
    </cfRule>
  </conditionalFormatting>
  <conditionalFormatting sqref="U50:W51">
    <cfRule type="cellIs" dxfId="48" priority="39" stopIfTrue="1" operator="equal">
      <formula>" &lt;&lt;&lt; Auswahl"</formula>
    </cfRule>
  </conditionalFormatting>
  <conditionalFormatting sqref="K52:R56">
    <cfRule type="cellIs" dxfId="47" priority="40" stopIfTrue="1" operator="equal">
      <formula>"Bezeichnung"</formula>
    </cfRule>
  </conditionalFormatting>
  <conditionalFormatting sqref="K11:W11">
    <cfRule type="cellIs" dxfId="46" priority="41" stopIfTrue="1" operator="equal">
      <formula>"Name JM"</formula>
    </cfRule>
  </conditionalFormatting>
  <conditionalFormatting sqref="K15:W15">
    <cfRule type="cellIs" dxfId="45" priority="42" stopIfTrue="1" operator="equal">
      <formula>"Name Pflichtige/r"</formula>
    </cfRule>
  </conditionalFormatting>
  <conditionalFormatting sqref="K21:M21 O21:Q21">
    <cfRule type="cellIs" dxfId="44" priority="43" stopIfTrue="1" operator="equal">
      <formula>"Eingabe !"</formula>
    </cfRule>
    <cfRule type="cellIs" dxfId="43" priority="44" stopIfTrue="1" operator="notEqual">
      <formula>"Eingabe !"</formula>
    </cfRule>
  </conditionalFormatting>
  <conditionalFormatting sqref="B86:K86">
    <cfRule type="cellIs" dxfId="42" priority="23" stopIfTrue="1" operator="equal">
      <formula>"Sonstige Belastungen iSd § 93 Abs. 3 SGB VIII"</formula>
    </cfRule>
  </conditionalFormatting>
  <conditionalFormatting sqref="B85:K85">
    <cfRule type="cellIs" dxfId="41" priority="19" stopIfTrue="1" operator="equal">
      <formula>"Sonstige Belastungen iSd § 93 Abs. 3 SGB VIII"</formula>
    </cfRule>
  </conditionalFormatting>
  <conditionalFormatting sqref="M84:O87">
    <cfRule type="cellIs" dxfId="40" priority="9" stopIfTrue="1" operator="equal">
      <formula>0</formula>
    </cfRule>
    <cfRule type="cellIs" dxfId="39" priority="10" stopIfTrue="1" operator="greaterThan">
      <formula>0</formula>
    </cfRule>
    <cfRule type="cellIs" dxfId="38" priority="11" stopIfTrue="1" operator="lessThan">
      <formula>0</formula>
    </cfRule>
  </conditionalFormatting>
  <conditionalFormatting sqref="B84:K84">
    <cfRule type="cellIs" dxfId="37" priority="15" stopIfTrue="1" operator="equal">
      <formula>"Sonstige Belastungen iSd § 93 Abs. 3 SGB VIII"</formula>
    </cfRule>
  </conditionalFormatting>
  <conditionalFormatting sqref="B114">
    <cfRule type="cellIs" dxfId="36" priority="7" operator="equal">
      <formula>"Falsche Auswahl!"</formula>
    </cfRule>
    <cfRule type="cellIs" dxfId="35" priority="8" operator="equal">
      <formula>"Auswahl treffen!"</formula>
    </cfRule>
  </conditionalFormatting>
  <conditionalFormatting sqref="B38:I39">
    <cfRule type="cellIs" dxfId="34" priority="6" operator="equal">
      <formula>"Sonstiger Abzug"</formula>
    </cfRule>
  </conditionalFormatting>
  <conditionalFormatting sqref="B121:B122">
    <cfRule type="cellIs" dxfId="33" priority="4" operator="equal">
      <formula>"Falsche Auswahl!"</formula>
    </cfRule>
    <cfRule type="cellIs" dxfId="32" priority="5" operator="equal">
      <formula>"Auswahl treffen!"</formula>
    </cfRule>
  </conditionalFormatting>
  <conditionalFormatting sqref="K9 T9">
    <cfRule type="cellIs" dxfId="31" priority="3" stopIfTrue="1" operator="equal">
      <formula>"Name JM"</formula>
    </cfRule>
  </conditionalFormatting>
  <conditionalFormatting sqref="K9:R9">
    <cfRule type="cellIs" dxfId="30" priority="2" operator="equal">
      <formula>"Aktenzeichen"</formula>
    </cfRule>
  </conditionalFormatting>
  <conditionalFormatting sqref="T9:W9">
    <cfRule type="cellIs" dxfId="29" priority="1" operator="equal">
      <formula>"Datum"</formula>
    </cfRule>
  </conditionalFormatting>
  <dataValidations count="5">
    <dataValidation type="date" operator="greaterThanOrEqual" allowBlank="1" showInputMessage="1" showErrorMessage="1" errorTitle="Hinweis" error="Diese Berechnungsvorlage kann nur für Kostenbeiträge ab dem 01.01.2017 verwendet werden!" promptTitle="Pflichtfeld" prompt="Sie müssen ein Beginndatum für die Berechnung eintragen." sqref="K17:M17" xr:uid="{00000000-0002-0000-0000-000000000000}">
      <formula1>42736</formula1>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xr:uid="{00000000-0002-0000-0000-000001000000}">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xr:uid="{00000000-0002-0000-0000-000002000000}"/>
    <dataValidation allowBlank="1" showInputMessage="1" showErrorMessage="1" promptTitle="Hinweis" prompt="Den hier vorgeschlagenen Text können Sie überschreiben." sqref="B81:K87 K52:R56" xr:uid="{00000000-0002-0000-0000-000003000000}"/>
    <dataValidation allowBlank="1" showInputMessage="1" promptTitle="Hinweis" prompt="Den hier vorgeschlagenen Text können Sie überschreiben." sqref="B63:P67" xr:uid="{00000000-0002-0000-0000-000004000000}"/>
  </dataValidations>
  <hyperlinks>
    <hyperlink ref="K1" r:id="rId1" tooltip="www.kostenbeitrag.de - Infos für Jugendämter in Hessen" xr:uid="{00000000-0004-0000-0000-000000000000}"/>
    <hyperlink ref="Z95" location="'Einkommen selbst. Tätigkeit'!D8" display="Betrag laut Nebenrechnung &quot;Einkommen selbst. Tätigkeit&quot;" xr:uid="{00000000-0004-0000-0000-000001000000}"/>
    <hyperlink ref="Z114" location="Schmälerungsverbot!K9" display="Reduzierungsbetrag laut Nebenrechnung &quot;Schmälerungsverbot&quot;" xr:uid="{00000000-0004-0000-0000-000002000000}"/>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20</xdr:col>
                    <xdr:colOff>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1</xdr:col>
                    <xdr:colOff>0</xdr:colOff>
                    <xdr:row>119</xdr:row>
                    <xdr:rowOff>0</xdr:rowOff>
                  </from>
                  <to>
                    <xdr:col>19</xdr:col>
                    <xdr:colOff>0</xdr:colOff>
                    <xdr:row>120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x14ac:dyDescent="0.2"/>
  <cols>
    <col min="1" max="1" width="4.7109375" style="222" customWidth="1"/>
    <col min="2" max="2" width="46.7109375" style="222" customWidth="1"/>
    <col min="3" max="3" width="9" style="222" customWidth="1"/>
    <col min="4" max="4" width="12.7109375" style="222" customWidth="1"/>
    <col min="5" max="5" width="4.140625" style="224" customWidth="1"/>
    <col min="6" max="6" width="5.5703125" style="222" customWidth="1"/>
    <col min="7" max="7" width="15.5703125" style="222" customWidth="1"/>
    <col min="8" max="8" width="4.140625" style="259" customWidth="1"/>
    <col min="9" max="9" width="2.28515625" style="225" customWidth="1"/>
    <col min="10" max="10" width="5.42578125" style="222" customWidth="1"/>
    <col min="11" max="11" width="4.7109375" style="225" customWidth="1"/>
    <col min="12" max="12" width="62.42578125" style="231" customWidth="1"/>
    <col min="13" max="13" width="0" style="222" hidden="1" customWidth="1"/>
    <col min="14" max="24" width="11.42578125" style="222" hidden="1" customWidth="1"/>
    <col min="25" max="16384" width="0" style="222" hidden="1"/>
  </cols>
  <sheetData>
    <row r="1" spans="1:12" s="100" customFormat="1" ht="21.75" customHeight="1" x14ac:dyDescent="0.2">
      <c r="A1" s="103"/>
      <c r="B1" s="220" t="s">
        <v>330</v>
      </c>
      <c r="C1" s="311" t="s">
        <v>132</v>
      </c>
      <c r="D1" s="312"/>
      <c r="E1" s="50"/>
      <c r="F1" s="51" t="s">
        <v>321</v>
      </c>
      <c r="G1" s="219">
        <f>Hauptberechnung!R1</f>
        <v>42736</v>
      </c>
      <c r="H1" s="52"/>
      <c r="I1" s="51" t="s">
        <v>133</v>
      </c>
      <c r="J1" s="408">
        <f>Hauptberechnung!V1</f>
        <v>43159</v>
      </c>
      <c r="K1" s="408"/>
      <c r="L1" s="50" t="s">
        <v>206</v>
      </c>
    </row>
    <row r="2" spans="1:12" s="53" customFormat="1" ht="12" x14ac:dyDescent="0.2">
      <c r="B2" s="159" t="str">
        <f>"Anlage zur Kostenbeitragsberechnung "&amp;NameJM&amp;" / "&amp;NamePflichtiger&amp;" für die Zeit ab "&amp;(DAY(KBZeitraumVon)&amp;"."&amp;MONTH(KBZeitraumVon)&amp;"."&amp;YEAR(KBZeitraumVon))</f>
        <v>Anlage zur Kostenbeitragsberechnung Name JM / Name Pflichtige/r für die Zeit ab 0.1.1900</v>
      </c>
      <c r="H2" s="54"/>
      <c r="I2" s="285"/>
      <c r="J2" s="285"/>
      <c r="K2" s="285"/>
      <c r="L2" s="145"/>
    </row>
    <row r="3" spans="1:12" s="56" customFormat="1" ht="32.1" customHeight="1" x14ac:dyDescent="0.2">
      <c r="B3" s="55"/>
      <c r="H3" s="57"/>
      <c r="I3" s="286"/>
      <c r="J3" s="286"/>
      <c r="K3" s="286"/>
      <c r="L3" s="147"/>
    </row>
    <row r="4" spans="1:12" s="232" customFormat="1" ht="20.25" x14ac:dyDescent="0.2">
      <c r="B4" s="233" t="s">
        <v>324</v>
      </c>
      <c r="C4" s="234"/>
      <c r="D4" s="235"/>
      <c r="E4" s="235"/>
      <c r="H4" s="297"/>
      <c r="I4" s="261"/>
      <c r="J4" s="261"/>
      <c r="K4" s="261"/>
      <c r="L4" s="149" t="s">
        <v>224</v>
      </c>
    </row>
    <row r="5" spans="1:12" s="232" customFormat="1" ht="20.25" x14ac:dyDescent="0.2">
      <c r="B5" s="233"/>
      <c r="C5" s="234"/>
      <c r="D5" s="235"/>
      <c r="E5" s="235"/>
      <c r="H5" s="297"/>
      <c r="I5" s="261"/>
      <c r="J5" s="261"/>
      <c r="K5" s="261"/>
      <c r="L5" s="149"/>
    </row>
    <row r="6" spans="1:12" s="233" customFormat="1" ht="20.100000000000001" customHeight="1" x14ac:dyDescent="0.2">
      <c r="B6" s="345" t="s">
        <v>323</v>
      </c>
      <c r="C6" s="346"/>
      <c r="D6" s="347"/>
      <c r="E6" s="347"/>
      <c r="F6" s="348"/>
      <c r="G6" s="348"/>
      <c r="H6" s="349"/>
      <c r="I6" s="262"/>
      <c r="J6" s="262"/>
      <c r="K6" s="262"/>
      <c r="L6" s="241"/>
    </row>
    <row r="7" spans="1:12" s="221" customFormat="1" ht="15.95" customHeight="1" x14ac:dyDescent="0.2">
      <c r="B7" s="236"/>
      <c r="C7" s="237"/>
      <c r="D7" s="354" t="str">
        <f>IF(D8="","Pflichtfeld:","")</f>
        <v>Pflichtfeld:</v>
      </c>
      <c r="E7" s="384" t="str">
        <f>IF(Dropdownfelder!A63=1,"Auswahl treffen!","")</f>
        <v>Auswahl treffen!</v>
      </c>
      <c r="H7" s="298"/>
      <c r="I7" s="263"/>
      <c r="J7" s="263"/>
      <c r="K7" s="263"/>
      <c r="L7" s="287"/>
    </row>
    <row r="8" spans="1:12" ht="15.95" customHeight="1" x14ac:dyDescent="0.2">
      <c r="B8" s="242" t="s">
        <v>283</v>
      </c>
      <c r="D8" s="274"/>
      <c r="E8" s="244" t="str">
        <f>VLOOKUP(Dropdownfelder!A63,Dropdownfelder!A64:B66,2,FALSE)</f>
        <v>Bitte wählen…</v>
      </c>
      <c r="I8" s="264"/>
      <c r="J8" s="264"/>
      <c r="K8" s="264"/>
      <c r="L8" s="446" t="s">
        <v>326</v>
      </c>
    </row>
    <row r="9" spans="1:12" ht="15.95" customHeight="1" x14ac:dyDescent="0.2">
      <c r="B9" s="242" t="str">
        <f>"Die sich daraus ergebende Kostenbeitragsfestsetzung ist " &amp; IF(Dropdownfelder!A63&lt;3,"vorläufig","endgültig")&amp;"."</f>
        <v>Die sich daraus ergebende Kostenbeitragsfestsetzung ist vorläufig.</v>
      </c>
      <c r="C9" s="243"/>
      <c r="D9" s="244"/>
      <c r="E9" s="244"/>
      <c r="I9" s="264"/>
      <c r="J9" s="264"/>
      <c r="K9" s="264"/>
      <c r="L9" s="446"/>
    </row>
    <row r="10" spans="1:12" s="221" customFormat="1" ht="15.95" customHeight="1" x14ac:dyDescent="0.2">
      <c r="B10" s="236"/>
      <c r="C10" s="245"/>
      <c r="D10" s="238"/>
      <c r="E10" s="238"/>
      <c r="H10" s="298"/>
      <c r="I10" s="263"/>
      <c r="J10" s="263"/>
      <c r="K10" s="263"/>
      <c r="L10" s="446"/>
    </row>
    <row r="11" spans="1:12" ht="15.95" customHeight="1" x14ac:dyDescent="0.2">
      <c r="B11" s="223" t="str">
        <f>"Bruttoeinnahmen des Wirtschaftsjahres " &amp; D8 &amp; "(§ 93 Abs. 1 SGB VIII)"</f>
        <v>Bruttoeinnahmen des Wirtschaftsjahres (§ 93 Abs. 1 SGB VIII)</v>
      </c>
      <c r="C11" s="243"/>
      <c r="E11" s="244"/>
      <c r="G11" s="448" t="s">
        <v>138</v>
      </c>
      <c r="H11" s="448"/>
      <c r="I11" s="265"/>
      <c r="J11" s="264"/>
      <c r="K11" s="265"/>
      <c r="L11" s="446"/>
    </row>
    <row r="12" spans="1:12" ht="15.95" customHeight="1" x14ac:dyDescent="0.2">
      <c r="B12" s="242" t="s">
        <v>284</v>
      </c>
      <c r="C12" s="243"/>
      <c r="E12" s="244"/>
      <c r="G12" s="276">
        <v>0</v>
      </c>
      <c r="I12" s="264"/>
      <c r="J12" s="269"/>
      <c r="K12" s="264"/>
      <c r="L12" s="288" t="str">
        <f>"s. "&amp;IF(Dropdownfelder!A63&lt;3,"vorläufige","")&amp;" Gewinnermittlung"</f>
        <v>s. vorläufige Gewinnermittlung</v>
      </c>
    </row>
    <row r="13" spans="1:12" ht="15.95" customHeight="1" x14ac:dyDescent="0.2">
      <c r="B13" s="242" t="s">
        <v>285</v>
      </c>
      <c r="C13" s="243"/>
      <c r="D13" s="244"/>
      <c r="E13" s="244"/>
      <c r="G13" s="276">
        <v>0</v>
      </c>
      <c r="H13" s="281" t="s">
        <v>162</v>
      </c>
      <c r="I13" s="266"/>
      <c r="J13" s="269"/>
      <c r="K13" s="266"/>
      <c r="L13" s="288" t="s">
        <v>286</v>
      </c>
    </row>
    <row r="14" spans="1:12" ht="15.95" customHeight="1" x14ac:dyDescent="0.2">
      <c r="B14" s="242" t="s">
        <v>287</v>
      </c>
      <c r="C14" s="243"/>
      <c r="D14" s="244"/>
      <c r="E14" s="244"/>
      <c r="G14" s="276">
        <v>0</v>
      </c>
      <c r="H14" s="281" t="s">
        <v>162</v>
      </c>
      <c r="I14" s="266"/>
      <c r="J14" s="269"/>
      <c r="K14" s="266"/>
      <c r="L14" s="288" t="s">
        <v>288</v>
      </c>
    </row>
    <row r="15" spans="1:12" ht="15.95" customHeight="1" x14ac:dyDescent="0.2">
      <c r="B15" s="275" t="s">
        <v>289</v>
      </c>
      <c r="C15" s="243"/>
      <c r="D15" s="244"/>
      <c r="E15" s="244"/>
      <c r="G15" s="276">
        <v>0</v>
      </c>
      <c r="H15" s="281" t="s">
        <v>162</v>
      </c>
      <c r="I15" s="266"/>
      <c r="J15" s="269"/>
      <c r="K15" s="266"/>
      <c r="L15" s="446" t="s">
        <v>290</v>
      </c>
    </row>
    <row r="16" spans="1:12" ht="15.95" customHeight="1" x14ac:dyDescent="0.2">
      <c r="B16" s="275" t="s">
        <v>289</v>
      </c>
      <c r="C16" s="243"/>
      <c r="D16" s="244"/>
      <c r="E16" s="244"/>
      <c r="G16" s="276">
        <v>0</v>
      </c>
      <c r="H16" s="281" t="s">
        <v>162</v>
      </c>
      <c r="I16" s="266"/>
      <c r="J16" s="269"/>
      <c r="K16" s="266"/>
      <c r="L16" s="446"/>
    </row>
    <row r="17" spans="2:12" ht="15.95" customHeight="1" x14ac:dyDescent="0.2">
      <c r="B17" s="275" t="s">
        <v>289</v>
      </c>
      <c r="C17" s="243"/>
      <c r="D17" s="244"/>
      <c r="E17" s="244"/>
      <c r="G17" s="276">
        <v>0</v>
      </c>
      <c r="H17" s="281" t="s">
        <v>162</v>
      </c>
      <c r="I17" s="266"/>
      <c r="J17" s="269"/>
      <c r="K17" s="266"/>
      <c r="L17" s="446"/>
    </row>
    <row r="18" spans="2:12" ht="15.95" customHeight="1" x14ac:dyDescent="0.2">
      <c r="B18" s="275" t="s">
        <v>289</v>
      </c>
      <c r="C18" s="243"/>
      <c r="D18" s="244"/>
      <c r="E18" s="244"/>
      <c r="G18" s="276">
        <v>0</v>
      </c>
      <c r="H18" s="281" t="s">
        <v>162</v>
      </c>
      <c r="I18" s="266"/>
      <c r="J18" s="269"/>
      <c r="K18" s="266"/>
      <c r="L18" s="288"/>
    </row>
    <row r="19" spans="2:12" ht="15.95" customHeight="1" x14ac:dyDescent="0.2">
      <c r="B19" s="243"/>
      <c r="C19" s="243"/>
      <c r="D19" s="243"/>
      <c r="E19" s="243"/>
      <c r="F19" s="243"/>
      <c r="G19" s="243"/>
      <c r="I19" s="264"/>
      <c r="J19" s="269"/>
      <c r="K19" s="264"/>
      <c r="L19" s="288"/>
    </row>
    <row r="20" spans="2:12" ht="15.95" customHeight="1" x14ac:dyDescent="0.2">
      <c r="B20" s="223" t="str">
        <f>"Steuerliche Ausgaben für das Wirtschaftsjahr " &amp; D8 &amp; "(§ 93 Abs. 2 Nr. 1 SGB VIII)"</f>
        <v>Steuerliche Ausgaben für das Wirtschaftsjahr (§ 93 Abs. 2 Nr. 1 SGB VIII)</v>
      </c>
      <c r="C20" s="243"/>
      <c r="E20" s="244"/>
      <c r="I20" s="264"/>
      <c r="J20" s="269"/>
      <c r="K20" s="264"/>
      <c r="L20" s="289"/>
    </row>
    <row r="21" spans="2:12" ht="15.95" customHeight="1" x14ac:dyDescent="0.2">
      <c r="B21" s="242" t="s">
        <v>291</v>
      </c>
      <c r="C21" s="243"/>
      <c r="D21" s="244"/>
      <c r="E21" s="244"/>
      <c r="G21" s="276">
        <v>0</v>
      </c>
      <c r="H21" s="281" t="s">
        <v>163</v>
      </c>
      <c r="I21" s="266"/>
      <c r="J21" s="269"/>
      <c r="K21" s="266"/>
      <c r="L21" s="446" t="str">
        <f>IF(Dropdownfelder!A63&lt;3,"Geschätzte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x14ac:dyDescent="0.2">
      <c r="B22" s="242" t="s">
        <v>142</v>
      </c>
      <c r="C22" s="243"/>
      <c r="D22" s="244"/>
      <c r="E22" s="244"/>
      <c r="G22" s="276">
        <v>0</v>
      </c>
      <c r="H22" s="281" t="s">
        <v>163</v>
      </c>
      <c r="I22" s="266"/>
      <c r="J22" s="269"/>
      <c r="K22" s="266"/>
      <c r="L22" s="446"/>
    </row>
    <row r="23" spans="2:12" ht="15.95" customHeight="1" x14ac:dyDescent="0.2">
      <c r="B23" s="242" t="s">
        <v>143</v>
      </c>
      <c r="C23" s="243"/>
      <c r="D23" s="244"/>
      <c r="E23" s="244"/>
      <c r="G23" s="276">
        <v>0</v>
      </c>
      <c r="H23" s="281" t="s">
        <v>163</v>
      </c>
      <c r="I23" s="266"/>
      <c r="J23" s="269"/>
      <c r="K23" s="266"/>
      <c r="L23" s="446"/>
    </row>
    <row r="24" spans="2:12" ht="15.95" customHeight="1" x14ac:dyDescent="0.2">
      <c r="B24" s="242" t="s">
        <v>292</v>
      </c>
      <c r="C24" s="243"/>
      <c r="D24" s="244"/>
      <c r="E24" s="244"/>
      <c r="G24" s="276">
        <v>0</v>
      </c>
      <c r="H24" s="281" t="s">
        <v>163</v>
      </c>
      <c r="I24" s="266"/>
      <c r="J24" s="269"/>
      <c r="K24" s="266"/>
      <c r="L24" s="446"/>
    </row>
    <row r="25" spans="2:12" ht="15.95" customHeight="1" x14ac:dyDescent="0.2">
      <c r="B25" s="242" t="s">
        <v>293</v>
      </c>
      <c r="C25" s="243"/>
      <c r="D25" s="244"/>
      <c r="E25" s="244"/>
      <c r="G25" s="276">
        <v>0</v>
      </c>
      <c r="H25" s="281" t="s">
        <v>163</v>
      </c>
      <c r="I25" s="266"/>
      <c r="J25" s="269"/>
      <c r="K25" s="266"/>
      <c r="L25" s="446"/>
    </row>
    <row r="26" spans="2:12" ht="15.95" customHeight="1" x14ac:dyDescent="0.2">
      <c r="B26" s="242"/>
      <c r="C26" s="243"/>
      <c r="D26" s="244"/>
      <c r="E26" s="244"/>
      <c r="I26" s="264"/>
      <c r="J26" s="269"/>
      <c r="K26" s="264"/>
      <c r="L26" s="288"/>
    </row>
    <row r="27" spans="2:12" ht="15.95" customHeight="1" x14ac:dyDescent="0.2">
      <c r="B27" s="223" t="str">
        <f>"Versicherungs-/Versorgungsausgaben des Wirtschaftsjahres " &amp; D8 &amp; "(§ 93 Abs. 2 Nr. 3 SGB VIII)"</f>
        <v>Versicherungs-/Versorgungsausgaben des Wirtschaftsjahres (§ 93 Abs. 2 Nr. 3 SGB VIII)</v>
      </c>
      <c r="C27" s="243"/>
      <c r="E27" s="244"/>
      <c r="I27" s="264"/>
      <c r="J27" s="269"/>
      <c r="K27" s="264"/>
      <c r="L27" s="289"/>
    </row>
    <row r="28" spans="2:12" ht="15.95" customHeight="1" x14ac:dyDescent="0.2">
      <c r="B28" s="242" t="s">
        <v>294</v>
      </c>
      <c r="C28" s="243"/>
      <c r="D28" s="244"/>
      <c r="E28" s="244"/>
      <c r="I28" s="264"/>
      <c r="J28" s="269"/>
      <c r="K28" s="264"/>
      <c r="L28" s="288"/>
    </row>
    <row r="29" spans="2:12" ht="15.95" customHeight="1" x14ac:dyDescent="0.2">
      <c r="B29" s="242" t="s">
        <v>295</v>
      </c>
      <c r="C29" s="243"/>
      <c r="D29" s="244"/>
      <c r="E29" s="244"/>
      <c r="I29" s="264"/>
      <c r="J29" s="269"/>
      <c r="K29" s="264"/>
      <c r="L29" s="288"/>
    </row>
    <row r="30" spans="2:12" ht="15.95" customHeight="1" x14ac:dyDescent="0.2">
      <c r="B30" s="248" t="s">
        <v>296</v>
      </c>
      <c r="C30" s="243"/>
      <c r="D30" s="244"/>
      <c r="E30" s="244"/>
      <c r="G30" s="276">
        <v>0</v>
      </c>
      <c r="H30" s="281" t="s">
        <v>163</v>
      </c>
      <c r="I30" s="266"/>
      <c r="J30" s="269"/>
      <c r="K30" s="266"/>
      <c r="L30" s="446" t="s">
        <v>297</v>
      </c>
    </row>
    <row r="31" spans="2:12" ht="15.95" customHeight="1" x14ac:dyDescent="0.2">
      <c r="B31" s="248" t="s">
        <v>298</v>
      </c>
      <c r="C31" s="243"/>
      <c r="D31" s="244"/>
      <c r="E31" s="244"/>
      <c r="G31" s="276">
        <v>0</v>
      </c>
      <c r="H31" s="281" t="s">
        <v>163</v>
      </c>
      <c r="I31" s="266"/>
      <c r="J31" s="269"/>
      <c r="K31" s="266"/>
      <c r="L31" s="446"/>
    </row>
    <row r="32" spans="2:12" ht="15.95" customHeight="1" x14ac:dyDescent="0.2">
      <c r="B32" s="248" t="s">
        <v>299</v>
      </c>
      <c r="C32" s="243"/>
      <c r="D32" s="244"/>
      <c r="E32" s="244"/>
      <c r="G32" s="276">
        <v>0</v>
      </c>
      <c r="H32" s="281" t="s">
        <v>163</v>
      </c>
      <c r="I32" s="266"/>
      <c r="J32" s="269"/>
      <c r="K32" s="266"/>
      <c r="L32" s="446"/>
    </row>
    <row r="33" spans="2:12" ht="15.95" customHeight="1" x14ac:dyDescent="0.2">
      <c r="B33" s="248" t="s">
        <v>300</v>
      </c>
      <c r="C33" s="243"/>
      <c r="D33" s="244"/>
      <c r="E33" s="244"/>
      <c r="G33" s="276">
        <v>0</v>
      </c>
      <c r="H33" s="281" t="s">
        <v>163</v>
      </c>
      <c r="I33" s="266"/>
      <c r="J33" s="269"/>
      <c r="K33" s="266"/>
      <c r="L33" s="446"/>
    </row>
    <row r="34" spans="2:12" ht="15.95" customHeight="1" x14ac:dyDescent="0.2">
      <c r="B34" s="248" t="s">
        <v>301</v>
      </c>
      <c r="C34" s="243"/>
      <c r="D34" s="244"/>
      <c r="E34" s="244"/>
      <c r="G34" s="277">
        <v>0</v>
      </c>
      <c r="H34" s="299" t="s">
        <v>163</v>
      </c>
      <c r="I34" s="266"/>
      <c r="J34" s="269"/>
      <c r="K34" s="266"/>
      <c r="L34" s="446"/>
    </row>
    <row r="35" spans="2:12" ht="3.95" customHeight="1" x14ac:dyDescent="0.2">
      <c r="B35" s="248"/>
      <c r="C35" s="243"/>
      <c r="D35" s="244"/>
      <c r="E35" s="244"/>
      <c r="G35" s="252"/>
      <c r="H35" s="281"/>
      <c r="I35" s="266"/>
      <c r="J35" s="269"/>
      <c r="K35" s="266"/>
      <c r="L35" s="288"/>
    </row>
    <row r="36" spans="2:12" s="223" customFormat="1" ht="15.95" customHeight="1" x14ac:dyDescent="0.2">
      <c r="B36" s="249" t="str">
        <f>"Verbleibendes Jahreseinkommen des Wirtschaftsjahres " &amp;D8</f>
        <v xml:space="preserve">Verbleibendes Jahreseinkommen des Wirtschaftsjahres </v>
      </c>
      <c r="C36" s="250"/>
      <c r="D36" s="251"/>
      <c r="E36" s="251"/>
      <c r="G36" s="252">
        <f>SUM(G12:G18)-SUM(G21:G25)-SUM(G30:G34)</f>
        <v>0</v>
      </c>
      <c r="H36" s="281"/>
      <c r="I36" s="267"/>
      <c r="J36" s="268"/>
      <c r="K36" s="267"/>
      <c r="L36" s="290"/>
    </row>
    <row r="37" spans="2:12" ht="15.95" customHeight="1" x14ac:dyDescent="0.2">
      <c r="B37" s="248"/>
      <c r="C37" s="243"/>
      <c r="D37" s="244"/>
      <c r="E37" s="244"/>
      <c r="H37" s="281"/>
      <c r="I37" s="268"/>
      <c r="J37" s="264"/>
      <c r="K37" s="268"/>
      <c r="L37" s="288"/>
    </row>
    <row r="38" spans="2:12" ht="15.95" customHeight="1" x14ac:dyDescent="0.2">
      <c r="B38" s="249" t="str">
        <f>"Notwendige Betriebsausgaben des Wirtschaftsjahres " &amp; D8</f>
        <v xml:space="preserve">Notwendige Betriebsausgaben des Wirtschaftsjahres </v>
      </c>
      <c r="C38" s="243"/>
      <c r="D38" s="244"/>
      <c r="E38" s="244"/>
      <c r="H38" s="281"/>
      <c r="I38" s="268"/>
      <c r="J38" s="264"/>
      <c r="K38" s="268"/>
      <c r="L38" s="288"/>
    </row>
    <row r="39" spans="2:12" ht="15.95" customHeight="1" x14ac:dyDescent="0.2">
      <c r="B39" s="275" t="s">
        <v>302</v>
      </c>
      <c r="C39" s="243"/>
      <c r="D39" s="278">
        <v>0</v>
      </c>
      <c r="E39" s="244"/>
      <c r="H39" s="281"/>
      <c r="I39" s="268"/>
      <c r="J39" s="264"/>
      <c r="K39" s="268"/>
      <c r="L39" s="288"/>
    </row>
    <row r="40" spans="2:12" ht="15.95" customHeight="1" x14ac:dyDescent="0.2">
      <c r="B40" s="275" t="s">
        <v>302</v>
      </c>
      <c r="C40" s="243"/>
      <c r="D40" s="278">
        <v>0</v>
      </c>
      <c r="E40" s="244" t="s">
        <v>162</v>
      </c>
      <c r="H40" s="281"/>
      <c r="I40" s="268"/>
      <c r="J40" s="264"/>
      <c r="K40" s="268"/>
      <c r="L40" s="288"/>
    </row>
    <row r="41" spans="2:12" ht="15.95" customHeight="1" x14ac:dyDescent="0.2">
      <c r="B41" s="275" t="s">
        <v>302</v>
      </c>
      <c r="C41" s="243"/>
      <c r="D41" s="278">
        <v>0</v>
      </c>
      <c r="E41" s="244" t="s">
        <v>162</v>
      </c>
      <c r="H41" s="281"/>
      <c r="I41" s="268"/>
      <c r="J41" s="264"/>
      <c r="K41" s="268"/>
      <c r="L41" s="288"/>
    </row>
    <row r="42" spans="2:12" ht="15.95" customHeight="1" x14ac:dyDescent="0.2">
      <c r="B42" s="275" t="s">
        <v>302</v>
      </c>
      <c r="C42" s="243"/>
      <c r="D42" s="279">
        <v>0</v>
      </c>
      <c r="E42" s="253" t="s">
        <v>162</v>
      </c>
      <c r="H42" s="281"/>
      <c r="I42" s="268"/>
      <c r="J42" s="264"/>
      <c r="K42" s="268"/>
      <c r="L42" s="288"/>
    </row>
    <row r="43" spans="2:12" ht="3.95" customHeight="1" x14ac:dyDescent="0.2">
      <c r="B43" s="304"/>
      <c r="C43" s="243"/>
      <c r="D43" s="305"/>
      <c r="E43" s="244"/>
      <c r="H43" s="281"/>
      <c r="I43" s="268"/>
      <c r="J43" s="264"/>
      <c r="K43" s="268"/>
      <c r="L43" s="288"/>
    </row>
    <row r="44" spans="2:12" ht="15.95" customHeight="1" x14ac:dyDescent="0.2">
      <c r="B44" s="249" t="s">
        <v>303</v>
      </c>
      <c r="C44" s="250"/>
      <c r="D44" s="254">
        <f>SUM(D39:D42)</f>
        <v>0</v>
      </c>
      <c r="E44" s="244"/>
      <c r="H44" s="281"/>
      <c r="I44" s="268"/>
      <c r="J44" s="264"/>
      <c r="K44" s="268"/>
      <c r="L44" s="288"/>
    </row>
    <row r="45" spans="2:12" ht="15.95" customHeight="1" x14ac:dyDescent="0.2">
      <c r="B45" s="249"/>
      <c r="C45" s="250"/>
      <c r="D45" s="254"/>
      <c r="E45" s="244"/>
      <c r="H45" s="281"/>
      <c r="I45" s="268"/>
      <c r="J45" s="264"/>
      <c r="K45" s="268"/>
      <c r="L45" s="288"/>
    </row>
    <row r="46" spans="2:12" ht="15.95" customHeight="1" x14ac:dyDescent="0.2">
      <c r="B46" s="242" t="str">
        <f>"Pauschal 25 % von " &amp;G36 &amp; IF(  G36=ROUND(  G36,0),",00",IF(  G36 =ROUND( G36,1),"0","")) &amp; " €"</f>
        <v>Pauschal 25 % von 0,00 €</v>
      </c>
      <c r="C46" s="243"/>
      <c r="D46" s="252">
        <f>25%*G36</f>
        <v>0</v>
      </c>
      <c r="E46" s="244"/>
      <c r="H46" s="281"/>
      <c r="I46" s="268"/>
      <c r="J46" s="264"/>
      <c r="K46" s="268"/>
      <c r="L46" s="288"/>
    </row>
    <row r="47" spans="2:12" ht="15.95" customHeight="1" x14ac:dyDescent="0.2">
      <c r="B47" s="242" t="str">
        <f>"Höherer Betrag (" &amp;D46 &amp; IF(D46=ROUND(D46,0),",00",IF(D46=ROUND(D46,1),"0","")) &amp; " € / " &amp;D44 &amp; IF(D44=ROUND(D44,0),",00",IF(D44=ROUND(D44,1),"0","")) &amp; " €)"</f>
        <v>Höherer Betrag (0,00 € / 0,00 €)</v>
      </c>
      <c r="C47" s="243"/>
      <c r="D47" s="252">
        <f>IF(D44&gt;D46,D44,D46)</f>
        <v>0</v>
      </c>
      <c r="E47" s="244"/>
      <c r="G47" s="255">
        <f>D47</f>
        <v>0</v>
      </c>
      <c r="H47" s="299" t="s">
        <v>163</v>
      </c>
      <c r="I47" s="268"/>
      <c r="J47" s="264"/>
      <c r="K47" s="268"/>
      <c r="L47" s="288"/>
    </row>
    <row r="48" spans="2:12" ht="3.95" customHeight="1" x14ac:dyDescent="0.2">
      <c r="B48" s="242"/>
      <c r="C48" s="243"/>
      <c r="D48" s="252"/>
      <c r="E48" s="244"/>
      <c r="G48" s="256"/>
      <c r="H48" s="281"/>
      <c r="I48" s="268"/>
      <c r="J48" s="264"/>
      <c r="K48" s="268"/>
      <c r="L48" s="288"/>
    </row>
    <row r="49" spans="2:24" s="223" customFormat="1" ht="15.95" customHeight="1" x14ac:dyDescent="0.2">
      <c r="B49" s="249" t="s">
        <v>304</v>
      </c>
      <c r="C49" s="250"/>
      <c r="D49" s="251"/>
      <c r="E49" s="251"/>
      <c r="G49" s="257">
        <f>G36-G47</f>
        <v>0</v>
      </c>
      <c r="H49" s="281"/>
      <c r="I49" s="268"/>
      <c r="J49" s="268"/>
      <c r="K49" s="268"/>
      <c r="L49" s="290"/>
    </row>
    <row r="50" spans="2:24" ht="15.95" customHeight="1" x14ac:dyDescent="0.2">
      <c r="B50" s="248"/>
      <c r="C50" s="243"/>
      <c r="D50" s="244"/>
      <c r="E50" s="244"/>
      <c r="H50" s="281"/>
      <c r="I50" s="268"/>
      <c r="J50" s="264"/>
      <c r="K50" s="268"/>
      <c r="L50" s="288"/>
    </row>
    <row r="51" spans="2:24" ht="15.95" customHeight="1" x14ac:dyDescent="0.2">
      <c r="B51" s="242" t="s">
        <v>305</v>
      </c>
      <c r="C51" s="243"/>
      <c r="D51" s="252">
        <f>G49</f>
        <v>0</v>
      </c>
      <c r="E51" s="222"/>
      <c r="I51" s="269"/>
      <c r="J51" s="264"/>
      <c r="K51" s="269"/>
      <c r="L51" s="447" t="s">
        <v>327</v>
      </c>
    </row>
    <row r="52" spans="2:24" ht="15.95" customHeight="1" x14ac:dyDescent="0.2">
      <c r="B52" s="242" t="s">
        <v>306</v>
      </c>
      <c r="C52" s="243"/>
      <c r="D52" s="273">
        <v>12</v>
      </c>
      <c r="E52" s="258" t="s">
        <v>164</v>
      </c>
      <c r="F52" s="259"/>
      <c r="H52" s="300"/>
      <c r="I52" s="270"/>
      <c r="J52" s="264"/>
      <c r="K52" s="270"/>
      <c r="L52" s="446"/>
    </row>
    <row r="53" spans="2:24" ht="3.95" customHeight="1" x14ac:dyDescent="0.2">
      <c r="B53" s="242"/>
      <c r="C53" s="243"/>
      <c r="D53" s="303"/>
      <c r="E53" s="251"/>
      <c r="F53" s="259"/>
      <c r="H53" s="300"/>
      <c r="I53" s="270"/>
      <c r="J53" s="264"/>
      <c r="K53" s="270"/>
      <c r="L53" s="446"/>
    </row>
    <row r="54" spans="2:24" ht="15.95" customHeight="1" x14ac:dyDescent="0.2">
      <c r="B54" s="242"/>
      <c r="C54" s="243"/>
      <c r="D54" s="252">
        <f>IF(D52&gt;0,D51/D52,0)</f>
        <v>0</v>
      </c>
      <c r="E54" s="251"/>
      <c r="F54" s="259"/>
      <c r="H54" s="300"/>
      <c r="I54" s="270"/>
      <c r="J54" s="264"/>
      <c r="K54" s="270"/>
      <c r="L54" s="446"/>
    </row>
    <row r="55" spans="2:24" ht="8.1" customHeight="1" x14ac:dyDescent="0.2">
      <c r="B55" s="242"/>
      <c r="C55" s="243"/>
      <c r="D55" s="259"/>
      <c r="E55" s="251"/>
      <c r="F55" s="259"/>
      <c r="H55" s="300"/>
      <c r="I55" s="270"/>
      <c r="J55" s="264"/>
      <c r="K55" s="270"/>
      <c r="L55" s="446"/>
    </row>
    <row r="56" spans="2:24" ht="15.95" customHeight="1" x14ac:dyDescent="0.2">
      <c r="B56" s="223" t="s">
        <v>307</v>
      </c>
      <c r="C56" s="243"/>
      <c r="D56" s="238"/>
      <c r="E56" s="244"/>
      <c r="G56" s="260">
        <f>IF(D54&lt;0,0,D54)</f>
        <v>0</v>
      </c>
      <c r="I56" s="269"/>
      <c r="J56" s="264"/>
      <c r="K56" s="269"/>
      <c r="L56" s="446" t="s">
        <v>331</v>
      </c>
    </row>
    <row r="57" spans="2:24" ht="15.95" customHeight="1" x14ac:dyDescent="0.2">
      <c r="B57" s="221" t="s">
        <v>308</v>
      </c>
      <c r="C57" s="243"/>
      <c r="D57" s="238"/>
      <c r="E57" s="244"/>
      <c r="H57" s="301"/>
      <c r="I57" s="271"/>
      <c r="J57" s="264"/>
      <c r="K57" s="271"/>
      <c r="L57" s="446"/>
    </row>
    <row r="58" spans="2:24" ht="15.95" customHeight="1" x14ac:dyDescent="0.2">
      <c r="B58" s="240"/>
      <c r="E58" s="222"/>
      <c r="F58" s="244"/>
      <c r="H58" s="302"/>
      <c r="I58" s="272"/>
      <c r="J58" s="264"/>
      <c r="K58" s="272"/>
      <c r="L58" s="446"/>
    </row>
    <row r="59" spans="2:24" s="239" customFormat="1" ht="20.100000000000001" customHeight="1" x14ac:dyDescent="0.2">
      <c r="B59" s="449" t="s">
        <v>325</v>
      </c>
      <c r="C59" s="449"/>
      <c r="D59" s="449"/>
      <c r="E59" s="449"/>
      <c r="F59" s="449"/>
      <c r="G59" s="449"/>
      <c r="H59" s="449"/>
      <c r="I59" s="292"/>
      <c r="J59" s="292"/>
      <c r="K59" s="292"/>
      <c r="L59" s="309" t="s">
        <v>277</v>
      </c>
      <c r="M59" s="291"/>
      <c r="N59" s="291"/>
      <c r="O59" s="291"/>
      <c r="P59" s="291"/>
      <c r="Q59" s="291"/>
      <c r="R59" s="291"/>
      <c r="S59" s="291"/>
      <c r="T59" s="291"/>
      <c r="U59" s="291"/>
      <c r="V59" s="291"/>
      <c r="W59" s="291"/>
      <c r="X59" s="291"/>
    </row>
    <row r="60" spans="2:24" ht="15.95" customHeight="1" x14ac:dyDescent="0.2">
      <c r="B60" s="280" t="s">
        <v>309</v>
      </c>
      <c r="I60" s="264"/>
      <c r="J60" s="269"/>
      <c r="K60" s="264"/>
      <c r="L60" s="293"/>
    </row>
    <row r="61" spans="2:24" ht="15.95" customHeight="1" x14ac:dyDescent="0.2">
      <c r="I61" s="264"/>
      <c r="J61" s="269"/>
      <c r="K61" s="264"/>
      <c r="L61" s="445" t="s">
        <v>328</v>
      </c>
    </row>
    <row r="62" spans="2:24" ht="15.95" customHeight="1" x14ac:dyDescent="0.2">
      <c r="B62" s="223" t="str">
        <f>"Nettoeinnahmen der Wirtschaftsjahre " &amp; D58 &amp; " (§ 93 Abs. 1 SGB VIII)"</f>
        <v>Nettoeinnahmen der Wirtschaftsjahre  (§ 93 Abs. 1 SGB VIII)</v>
      </c>
      <c r="C62" s="243"/>
      <c r="E62" s="222"/>
      <c r="F62" s="281"/>
      <c r="G62" s="448" t="s">
        <v>138</v>
      </c>
      <c r="H62" s="448"/>
      <c r="I62" s="265"/>
      <c r="J62" s="269"/>
      <c r="K62" s="265"/>
      <c r="L62" s="445"/>
    </row>
    <row r="63" spans="2:24" ht="15.95" customHeight="1" x14ac:dyDescent="0.2">
      <c r="B63" s="223"/>
      <c r="C63" s="243"/>
      <c r="E63" s="222"/>
      <c r="F63" s="281"/>
      <c r="G63" s="247"/>
      <c r="I63" s="264"/>
      <c r="J63" s="269"/>
      <c r="K63" s="264"/>
      <c r="L63" s="293"/>
    </row>
    <row r="64" spans="2:24" ht="15.95" customHeight="1" x14ac:dyDescent="0.2">
      <c r="B64" s="222" t="s">
        <v>310</v>
      </c>
      <c r="C64" s="224" t="s">
        <v>311</v>
      </c>
      <c r="E64" s="282" t="s">
        <v>306</v>
      </c>
      <c r="G64" s="247"/>
      <c r="I64" s="264"/>
      <c r="J64" s="269"/>
      <c r="K64" s="264"/>
      <c r="L64" s="294"/>
    </row>
    <row r="65" spans="2:12" ht="15.95" customHeight="1" x14ac:dyDescent="0.2">
      <c r="B65" s="242" t="s">
        <v>312</v>
      </c>
      <c r="C65" s="295"/>
      <c r="D65" s="259" t="s">
        <v>313</v>
      </c>
      <c r="E65" s="296"/>
      <c r="F65" s="283"/>
      <c r="G65" s="276">
        <v>0</v>
      </c>
      <c r="I65" s="264"/>
      <c r="J65" s="269"/>
      <c r="K65" s="264"/>
      <c r="L65" s="445" t="s">
        <v>329</v>
      </c>
    </row>
    <row r="66" spans="2:12" ht="15.95" customHeight="1" x14ac:dyDescent="0.2">
      <c r="B66" s="242" t="s">
        <v>312</v>
      </c>
      <c r="C66" s="274"/>
      <c r="D66" s="259" t="s">
        <v>313</v>
      </c>
      <c r="E66" s="296"/>
      <c r="F66" s="283"/>
      <c r="G66" s="276">
        <v>0</v>
      </c>
      <c r="H66" s="281" t="s">
        <v>162</v>
      </c>
      <c r="I66" s="266"/>
      <c r="J66" s="269"/>
      <c r="K66" s="266"/>
      <c r="L66" s="445"/>
    </row>
    <row r="67" spans="2:12" ht="15.95" customHeight="1" x14ac:dyDescent="0.2">
      <c r="B67" s="242" t="s">
        <v>312</v>
      </c>
      <c r="C67" s="274"/>
      <c r="D67" s="259" t="s">
        <v>313</v>
      </c>
      <c r="E67" s="296"/>
      <c r="F67" s="283"/>
      <c r="G67" s="277">
        <v>0</v>
      </c>
      <c r="H67" s="299" t="s">
        <v>162</v>
      </c>
      <c r="I67" s="266"/>
      <c r="J67" s="269"/>
      <c r="K67" s="266"/>
      <c r="L67" s="445"/>
    </row>
    <row r="68" spans="2:12" ht="3.95" customHeight="1" x14ac:dyDescent="0.2">
      <c r="B68" s="242"/>
      <c r="C68" s="306"/>
      <c r="D68" s="259"/>
      <c r="E68" s="303"/>
      <c r="F68" s="283"/>
      <c r="G68" s="307"/>
      <c r="H68" s="281"/>
      <c r="I68" s="266"/>
      <c r="J68" s="269"/>
      <c r="K68" s="266"/>
      <c r="L68" s="445"/>
    </row>
    <row r="69" spans="2:12" ht="15.95" customHeight="1" x14ac:dyDescent="0.2">
      <c r="B69" s="248"/>
      <c r="C69" s="243"/>
      <c r="D69" s="244"/>
      <c r="E69" s="244"/>
      <c r="G69" s="252">
        <f>IF(AND(E65&gt;0,G65&lt;&gt;0)=TRUE,G65,0)+IF(AND(E66&gt;0,G66&lt;&gt;0)=TRUE,G66,0)+IF(AND(E67&gt;0,G67&lt;&gt;0)=TRUE,G67,0)</f>
        <v>0</v>
      </c>
      <c r="I69" s="264"/>
      <c r="J69" s="269"/>
      <c r="K69" s="264"/>
      <c r="L69" s="445"/>
    </row>
    <row r="70" spans="2:12" ht="15.95" customHeight="1" x14ac:dyDescent="0.2">
      <c r="B70" s="248"/>
      <c r="C70" s="243"/>
      <c r="D70" s="244"/>
      <c r="E70" s="244"/>
      <c r="H70" s="281"/>
      <c r="I70" s="268"/>
      <c r="J70" s="264"/>
      <c r="K70" s="268"/>
      <c r="L70" s="445"/>
    </row>
    <row r="71" spans="2:12" ht="15.95" customHeight="1" x14ac:dyDescent="0.2">
      <c r="B71" s="242" t="s">
        <v>305</v>
      </c>
      <c r="D71" s="252" t="str">
        <f>G69&amp;IF(G69=ROUND(G69,0),",00 €",IF(G69=ROUND(G69,1),"0 €"," €"))</f>
        <v>0,00 €</v>
      </c>
      <c r="E71" s="222"/>
      <c r="I71" s="269"/>
      <c r="J71" s="264"/>
      <c r="K71" s="269"/>
      <c r="L71" s="293"/>
    </row>
    <row r="72" spans="2:12" ht="15.95" customHeight="1" x14ac:dyDescent="0.2">
      <c r="B72" s="242" t="s">
        <v>306</v>
      </c>
      <c r="D72" s="273">
        <f>IF(AND(E65&gt;0,G65&lt;&gt;0)=TRUE,E65,0)+IF(AND(E66&gt;0,G66&lt;&gt;0)=TRUE,E66,0)+IF(AND(E67&gt;0,G67&lt;&gt;0)=TRUE,E67,0)</f>
        <v>0</v>
      </c>
      <c r="E72" s="284" t="s">
        <v>164</v>
      </c>
      <c r="F72" s="259"/>
      <c r="H72" s="300"/>
      <c r="I72" s="270"/>
      <c r="J72" s="264"/>
      <c r="K72" s="270"/>
      <c r="L72" s="293"/>
    </row>
    <row r="73" spans="2:12" ht="3.95" customHeight="1" x14ac:dyDescent="0.2">
      <c r="B73" s="242"/>
      <c r="D73" s="303"/>
      <c r="E73" s="246"/>
      <c r="F73" s="259"/>
      <c r="H73" s="300"/>
      <c r="I73" s="270"/>
      <c r="J73" s="264"/>
      <c r="K73" s="270"/>
      <c r="L73" s="293"/>
    </row>
    <row r="74" spans="2:12" ht="15.95" customHeight="1" x14ac:dyDescent="0.2">
      <c r="B74" s="242"/>
      <c r="D74" s="252">
        <f>IF(D72&gt;0,IF(D72&lt;&gt;"",G69/D72,0),0)</f>
        <v>0</v>
      </c>
      <c r="E74" s="246"/>
      <c r="F74" s="259"/>
      <c r="H74" s="300"/>
      <c r="I74" s="270"/>
      <c r="J74" s="264"/>
      <c r="K74" s="270"/>
      <c r="L74" s="293"/>
    </row>
    <row r="75" spans="2:12" ht="15.95" customHeight="1" x14ac:dyDescent="0.2">
      <c r="B75" s="248"/>
      <c r="C75" s="243"/>
      <c r="D75" s="244"/>
      <c r="E75" s="244"/>
      <c r="I75" s="264"/>
      <c r="J75" s="264"/>
      <c r="K75" s="264"/>
      <c r="L75" s="445" t="s">
        <v>332</v>
      </c>
    </row>
    <row r="76" spans="2:12" ht="15.95" customHeight="1" x14ac:dyDescent="0.2">
      <c r="B76" s="223" t="s">
        <v>314</v>
      </c>
      <c r="C76" s="243"/>
      <c r="D76" s="238" t="s">
        <v>315</v>
      </c>
      <c r="E76" s="244"/>
      <c r="G76" s="260">
        <f>IF(D74&lt;0,0,D74)</f>
        <v>0</v>
      </c>
      <c r="I76" s="269"/>
      <c r="J76" s="264"/>
      <c r="K76" s="269"/>
      <c r="L76" s="445"/>
    </row>
    <row r="77" spans="2:12" ht="15.95" customHeight="1" x14ac:dyDescent="0.2">
      <c r="B77" s="223" t="s">
        <v>316</v>
      </c>
      <c r="C77" s="243"/>
      <c r="D77" s="238" t="s">
        <v>317</v>
      </c>
      <c r="E77" s="244"/>
      <c r="H77" s="301"/>
      <c r="I77" s="271"/>
      <c r="J77" s="264"/>
      <c r="K77" s="271"/>
      <c r="L77" s="445"/>
    </row>
    <row r="78" spans="2:12" ht="15.95" customHeight="1" x14ac:dyDescent="0.2">
      <c r="L78" s="308"/>
    </row>
  </sheetData>
  <sheetProtection sheet="1" objects="1" scenarios="1" autoFilter="0"/>
  <mergeCells count="13">
    <mergeCell ref="G11:H11"/>
    <mergeCell ref="L8:L11"/>
    <mergeCell ref="B59:H59"/>
    <mergeCell ref="J1:K1"/>
    <mergeCell ref="G62:H62"/>
    <mergeCell ref="L75:L77"/>
    <mergeCell ref="L15:L17"/>
    <mergeCell ref="L21:L25"/>
    <mergeCell ref="L30:L34"/>
    <mergeCell ref="L51:L55"/>
    <mergeCell ref="L56:L58"/>
    <mergeCell ref="L61:L62"/>
    <mergeCell ref="L65:L70"/>
  </mergeCells>
  <phoneticPr fontId="69" type="noConversion"/>
  <conditionalFormatting sqref="D71:D73 G65:G68 G30:G34 G21:G25 D39:D43 G12:G18">
    <cfRule type="cellIs" dxfId="28" priority="1" stopIfTrue="1" operator="equal">
      <formula>0</formula>
    </cfRule>
  </conditionalFormatting>
  <conditionalFormatting sqref="D52:D53">
    <cfRule type="cellIs" dxfId="27" priority="2" stopIfTrue="1" operator="lessThan">
      <formula>1</formula>
    </cfRule>
  </conditionalFormatting>
  <conditionalFormatting sqref="B39:B43">
    <cfRule type="cellIs" dxfId="26" priority="3" stopIfTrue="1" operator="equal">
      <formula>"Betriebliche Ausgaben"</formula>
    </cfRule>
    <cfRule type="cellIs" dxfId="25" priority="4" stopIfTrue="1" operator="equal">
      <formula>"Betriebliche Ausgaben"</formula>
    </cfRule>
  </conditionalFormatting>
  <conditionalFormatting sqref="B15:B18">
    <cfRule type="cellIs" dxfId="24"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xr:uid="{00000000-0002-0000-0100-000000000000}"/>
  </dataValidations>
  <hyperlinks>
    <hyperlink ref="C1" r:id="rId1" xr:uid="{00000000-0004-0000-01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Z168"/>
  <sheetViews>
    <sheetView showGridLines="0" showRowColHeaders="0" workbookViewId="0">
      <pane ySplit="3" topLeftCell="A4" activePane="bottomLeft" state="frozenSplit"/>
      <selection activeCell="K9" sqref="K9:W9"/>
      <selection pane="bottomLeft" activeCell="K9" sqref="K9:M9"/>
    </sheetView>
  </sheetViews>
  <sheetFormatPr baseColWidth="10" defaultColWidth="0" defaultRowHeight="15.95" customHeight="1" x14ac:dyDescent="0.2"/>
  <cols>
    <col min="1" max="1" width="4.7109375" style="174" customWidth="1"/>
    <col min="2" max="3" width="5.7109375" style="174" customWidth="1"/>
    <col min="4" max="8" width="4.7109375" style="174" customWidth="1"/>
    <col min="9" max="9" width="5.7109375" style="174" customWidth="1"/>
    <col min="10" max="18" width="4.7109375" style="174" customWidth="1"/>
    <col min="19" max="20" width="3.7109375" style="174" customWidth="1"/>
    <col min="21" max="23" width="4.7109375" style="174" customWidth="1"/>
    <col min="24" max="24" width="3.7109375" style="176" customWidth="1"/>
    <col min="25" max="25" width="4.7109375" style="174" customWidth="1"/>
    <col min="26" max="26" width="58.7109375" style="315" customWidth="1"/>
    <col min="27" max="16384" width="0" style="174" hidden="1"/>
  </cols>
  <sheetData>
    <row r="1" spans="1:26" s="317" customFormat="1" ht="21.75" customHeight="1" x14ac:dyDescent="0.2">
      <c r="A1" s="103"/>
      <c r="B1" s="50" t="s">
        <v>131</v>
      </c>
      <c r="C1" s="50"/>
      <c r="D1" s="50"/>
      <c r="E1" s="50"/>
      <c r="F1" s="50"/>
      <c r="G1" s="50"/>
      <c r="H1" s="50"/>
      <c r="I1" s="50"/>
      <c r="J1" s="50"/>
      <c r="K1" s="404" t="s">
        <v>132</v>
      </c>
      <c r="L1" s="404"/>
      <c r="M1" s="404"/>
      <c r="N1" s="404"/>
      <c r="O1" s="50"/>
      <c r="P1" s="50"/>
      <c r="Q1" s="106" t="s">
        <v>134</v>
      </c>
      <c r="R1" s="408">
        <f>Hauptberechnung!R1</f>
        <v>42736</v>
      </c>
      <c r="S1" s="408"/>
      <c r="T1" s="50"/>
      <c r="U1" s="51" t="s">
        <v>133</v>
      </c>
      <c r="V1" s="408">
        <f>Hauptberechnung!V1</f>
        <v>43159</v>
      </c>
      <c r="W1" s="409"/>
      <c r="X1" s="52"/>
      <c r="Y1" s="50"/>
      <c r="Z1" s="216" t="s">
        <v>206</v>
      </c>
    </row>
    <row r="2" spans="1:26" s="53" customFormat="1" ht="12" x14ac:dyDescent="0.2">
      <c r="B2" s="159" t="str">
        <f>"Anlage zur Kostenbeitragsberechnung "&amp;NameJM&amp;" / "&amp;NamePflichtiger&amp;" für die Zeit ab "&amp;(DAY(KBZeitraumVon)&amp;"."&amp;MONTH(KBZeitraumVon)&amp;"."&amp;YEAR(KBZeitraumVon))</f>
        <v>Anlage zur Kostenbeitragsberechnung Name JM / Name Pflichtige/r für die Zeit ab 0.1.1900</v>
      </c>
      <c r="N2" s="54"/>
      <c r="X2" s="54"/>
      <c r="Y2" s="145"/>
      <c r="Z2" s="212"/>
    </row>
    <row r="3" spans="1:26" s="56" customFormat="1" ht="32.1" customHeight="1" x14ac:dyDescent="0.2">
      <c r="B3" s="55"/>
      <c r="N3" s="57"/>
      <c r="X3" s="57"/>
      <c r="Y3" s="147"/>
      <c r="Z3" s="212"/>
    </row>
    <row r="4" spans="1:26" s="164" customFormat="1" ht="20.25" x14ac:dyDescent="0.2">
      <c r="B4" s="165" t="s">
        <v>280</v>
      </c>
      <c r="C4" s="166"/>
      <c r="D4" s="166"/>
      <c r="E4" s="166"/>
      <c r="F4" s="166"/>
      <c r="G4" s="166"/>
      <c r="H4" s="166"/>
      <c r="I4" s="166"/>
      <c r="J4" s="166"/>
      <c r="K4" s="166"/>
      <c r="L4" s="166"/>
      <c r="M4" s="166"/>
      <c r="N4" s="166"/>
      <c r="O4" s="166"/>
      <c r="P4" s="166"/>
      <c r="Q4" s="166"/>
      <c r="R4" s="166"/>
      <c r="S4" s="166"/>
      <c r="T4" s="166"/>
      <c r="U4" s="167"/>
      <c r="V4" s="167"/>
      <c r="W4" s="167"/>
      <c r="X4" s="168"/>
      <c r="Y4" s="161"/>
      <c r="Z4" s="523" t="s">
        <v>354</v>
      </c>
    </row>
    <row r="5" spans="1:26" s="164" customFormat="1" ht="20.100000000000001" customHeight="1" x14ac:dyDescent="0.2">
      <c r="B5" s="205" t="s">
        <v>281</v>
      </c>
      <c r="C5" s="166"/>
      <c r="D5" s="166"/>
      <c r="E5" s="166"/>
      <c r="F5" s="166"/>
      <c r="G5" s="166"/>
      <c r="H5" s="166"/>
      <c r="I5" s="166"/>
      <c r="J5" s="166"/>
      <c r="K5" s="166"/>
      <c r="L5" s="166"/>
      <c r="M5" s="166"/>
      <c r="N5" s="166"/>
      <c r="O5" s="166"/>
      <c r="P5" s="166"/>
      <c r="Q5" s="166"/>
      <c r="R5" s="166"/>
      <c r="S5" s="166"/>
      <c r="T5" s="166"/>
      <c r="U5" s="167"/>
      <c r="V5" s="167"/>
      <c r="W5" s="167"/>
      <c r="X5" s="168"/>
      <c r="Y5" s="161"/>
      <c r="Z5" s="523"/>
    </row>
    <row r="6" spans="1:26" s="169" customFormat="1" ht="15.95" customHeight="1" x14ac:dyDescent="0.2">
      <c r="U6" s="170"/>
      <c r="V6" s="170"/>
      <c r="W6" s="170"/>
      <c r="X6" s="171"/>
      <c r="Y6" s="161"/>
      <c r="Z6" s="523"/>
    </row>
    <row r="7" spans="1:26" s="68" customFormat="1" ht="20.100000000000001" customHeight="1" x14ac:dyDescent="0.2">
      <c r="B7" s="457" t="s">
        <v>257</v>
      </c>
      <c r="C7" s="457"/>
      <c r="D7" s="457"/>
      <c r="E7" s="457"/>
      <c r="F7" s="457"/>
      <c r="G7" s="457"/>
      <c r="H7" s="457"/>
      <c r="I7" s="457"/>
      <c r="J7" s="457"/>
      <c r="K7" s="457"/>
      <c r="L7" s="457"/>
      <c r="M7" s="457"/>
      <c r="N7" s="457"/>
      <c r="O7" s="457"/>
      <c r="P7" s="457"/>
      <c r="Q7" s="457"/>
      <c r="R7" s="457"/>
      <c r="S7" s="457"/>
      <c r="T7" s="457"/>
      <c r="U7" s="457"/>
      <c r="V7" s="457"/>
      <c r="W7" s="457"/>
      <c r="X7" s="457"/>
      <c r="Y7" s="150"/>
      <c r="Z7" s="523"/>
    </row>
    <row r="8" spans="1:26" s="68" customFormat="1" ht="15.95" customHeight="1" x14ac:dyDescent="0.2">
      <c r="N8" s="69"/>
      <c r="X8" s="69"/>
      <c r="Y8" s="150"/>
      <c r="Z8" s="213"/>
    </row>
    <row r="9" spans="1:26" s="75" customFormat="1" ht="15.95" customHeight="1" x14ac:dyDescent="0.2">
      <c r="B9" s="75" t="s">
        <v>256</v>
      </c>
      <c r="J9" s="218" t="str">
        <f>IF(OR(K9="",O9="")=TRUE,"Pflichtfelder &gt;&gt;&gt; ","")</f>
        <v xml:space="preserve">Pflichtfelder &gt;&gt;&gt; </v>
      </c>
      <c r="K9" s="413"/>
      <c r="L9" s="413"/>
      <c r="M9" s="413"/>
      <c r="N9" s="76" t="s">
        <v>119</v>
      </c>
      <c r="O9" s="510"/>
      <c r="P9" s="510"/>
      <c r="Q9" s="510"/>
      <c r="U9" s="163">
        <f>IF(AND(K9&lt;&gt;"",O9&lt;&gt;"",O9&gt;K9)=TRUE,DATEDIF(K9,O9,"m")+1,0)</f>
        <v>0</v>
      </c>
      <c r="V9" s="78" t="str">
        <f>"Monat" &amp; IF(AND(K9&lt;&gt;"",O9&lt;&gt;"",O9&gt;K9)=TRUE,IF((DATEDIF(K9,O9,"m")+1)&gt;1,"e",""),"")</f>
        <v>Monat</v>
      </c>
      <c r="X9" s="76"/>
      <c r="Y9" s="150"/>
      <c r="Z9" s="451" t="s">
        <v>272</v>
      </c>
    </row>
    <row r="10" spans="1:26" s="75" customFormat="1" ht="15.95" customHeight="1" x14ac:dyDescent="0.2">
      <c r="N10" s="76"/>
      <c r="X10" s="76"/>
      <c r="Y10" s="150"/>
      <c r="Z10" s="451"/>
    </row>
    <row r="11" spans="1:26" s="68" customFormat="1" ht="15.95" customHeight="1" x14ac:dyDescent="0.2">
      <c r="B11" s="64" t="s">
        <v>61</v>
      </c>
      <c r="N11" s="69"/>
      <c r="X11" s="69"/>
      <c r="Y11" s="150"/>
      <c r="Z11" s="451"/>
    </row>
    <row r="12" spans="1:26" s="68" customFormat="1" ht="8.1" customHeight="1" x14ac:dyDescent="0.2">
      <c r="N12" s="69"/>
      <c r="X12" s="69"/>
      <c r="Y12" s="150"/>
      <c r="Z12" s="213"/>
    </row>
    <row r="13" spans="1:26" s="62" customFormat="1" ht="15.95" customHeight="1" x14ac:dyDescent="0.2">
      <c r="B13" s="64" t="s">
        <v>138</v>
      </c>
      <c r="N13" s="63"/>
      <c r="Q13" s="64" t="s">
        <v>161</v>
      </c>
      <c r="X13" s="63"/>
      <c r="Y13" s="150"/>
      <c r="Z13" s="217"/>
    </row>
    <row r="14" spans="1:26" s="71" customFormat="1" ht="15.95" customHeight="1" x14ac:dyDescent="0.2">
      <c r="B14" s="10" t="s">
        <v>139</v>
      </c>
      <c r="C14" s="10"/>
      <c r="D14" s="10"/>
      <c r="E14" s="10"/>
      <c r="F14" s="10"/>
      <c r="G14" s="10"/>
      <c r="H14" s="79"/>
      <c r="I14" s="79"/>
      <c r="J14" s="79"/>
      <c r="K14" s="411">
        <v>0</v>
      </c>
      <c r="L14" s="411"/>
      <c r="M14" s="411"/>
      <c r="N14" s="70"/>
      <c r="Q14" s="71" t="s">
        <v>149</v>
      </c>
      <c r="U14" s="411">
        <v>0</v>
      </c>
      <c r="V14" s="411"/>
      <c r="W14" s="411"/>
      <c r="X14" s="70"/>
      <c r="Y14" s="150"/>
      <c r="Z14" s="450" t="s">
        <v>266</v>
      </c>
    </row>
    <row r="15" spans="1:26" s="71" customFormat="1" ht="15.95" customHeight="1" x14ac:dyDescent="0.2">
      <c r="B15" s="410" t="s">
        <v>140</v>
      </c>
      <c r="C15" s="410"/>
      <c r="D15" s="410"/>
      <c r="E15" s="410"/>
      <c r="F15" s="410"/>
      <c r="G15" s="410"/>
      <c r="H15" s="79"/>
      <c r="I15" s="79"/>
      <c r="J15" s="79"/>
      <c r="K15" s="411">
        <v>0</v>
      </c>
      <c r="L15" s="411"/>
      <c r="M15" s="411"/>
      <c r="N15" s="11" t="s">
        <v>162</v>
      </c>
      <c r="O15" s="79"/>
      <c r="P15" s="79"/>
      <c r="Q15" s="79" t="s">
        <v>150</v>
      </c>
      <c r="S15" s="79"/>
      <c r="T15" s="79"/>
      <c r="U15" s="411">
        <v>0</v>
      </c>
      <c r="V15" s="411"/>
      <c r="W15" s="411"/>
      <c r="X15" s="70" t="s">
        <v>162</v>
      </c>
      <c r="Y15" s="150"/>
      <c r="Z15" s="450"/>
    </row>
    <row r="16" spans="1:26" s="71" customFormat="1" ht="15.95" customHeight="1" x14ac:dyDescent="0.2">
      <c r="B16" s="410" t="s">
        <v>140</v>
      </c>
      <c r="C16" s="410"/>
      <c r="D16" s="410"/>
      <c r="E16" s="410"/>
      <c r="F16" s="410"/>
      <c r="G16" s="410"/>
      <c r="H16" s="79"/>
      <c r="I16" s="79"/>
      <c r="J16" s="79"/>
      <c r="K16" s="411">
        <v>0</v>
      </c>
      <c r="L16" s="411"/>
      <c r="M16" s="411"/>
      <c r="N16" s="11" t="s">
        <v>162</v>
      </c>
      <c r="O16" s="79"/>
      <c r="P16" s="79"/>
      <c r="Q16" s="79" t="s">
        <v>151</v>
      </c>
      <c r="S16" s="79"/>
      <c r="T16" s="79"/>
      <c r="U16" s="411">
        <v>0</v>
      </c>
      <c r="V16" s="411"/>
      <c r="W16" s="411"/>
      <c r="X16" s="70" t="s">
        <v>162</v>
      </c>
      <c r="Y16" s="150"/>
      <c r="Z16" s="450"/>
    </row>
    <row r="17" spans="2:26" s="71" customFormat="1" ht="15.95" customHeight="1" x14ac:dyDescent="0.2">
      <c r="B17" s="10" t="s">
        <v>141</v>
      </c>
      <c r="C17" s="10"/>
      <c r="D17" s="10"/>
      <c r="E17" s="10"/>
      <c r="F17" s="10"/>
      <c r="G17" s="10"/>
      <c r="H17" s="79"/>
      <c r="I17" s="79"/>
      <c r="J17" s="79"/>
      <c r="K17" s="411">
        <v>0</v>
      </c>
      <c r="L17" s="411"/>
      <c r="M17" s="411"/>
      <c r="N17" s="11" t="s">
        <v>163</v>
      </c>
      <c r="O17" s="79"/>
      <c r="P17" s="79"/>
      <c r="Q17" s="79" t="s">
        <v>152</v>
      </c>
      <c r="S17" s="79"/>
      <c r="T17" s="79"/>
      <c r="U17" s="411">
        <v>0</v>
      </c>
      <c r="V17" s="411"/>
      <c r="W17" s="411"/>
      <c r="X17" s="70" t="s">
        <v>162</v>
      </c>
      <c r="Y17" s="150"/>
      <c r="Z17" s="450"/>
    </row>
    <row r="18" spans="2:26" s="71" customFormat="1" ht="15.95" customHeight="1" x14ac:dyDescent="0.2">
      <c r="B18" s="10" t="s">
        <v>142</v>
      </c>
      <c r="C18" s="10"/>
      <c r="D18" s="10"/>
      <c r="E18" s="10"/>
      <c r="F18" s="10"/>
      <c r="G18" s="10"/>
      <c r="H18" s="79"/>
      <c r="I18" s="79"/>
      <c r="J18" s="79"/>
      <c r="K18" s="411">
        <v>0</v>
      </c>
      <c r="L18" s="411"/>
      <c r="M18" s="411"/>
      <c r="N18" s="11" t="s">
        <v>163</v>
      </c>
      <c r="O18" s="79"/>
      <c r="P18" s="79"/>
      <c r="Q18" s="79" t="s">
        <v>153</v>
      </c>
      <c r="S18" s="79"/>
      <c r="T18" s="79"/>
      <c r="U18" s="411">
        <v>0</v>
      </c>
      <c r="V18" s="411"/>
      <c r="W18" s="411"/>
      <c r="X18" s="70" t="s">
        <v>162</v>
      </c>
      <c r="Y18" s="150"/>
      <c r="Z18" s="450"/>
    </row>
    <row r="19" spans="2:26" s="71" customFormat="1" ht="15.95" customHeight="1" x14ac:dyDescent="0.2">
      <c r="B19" s="10" t="s">
        <v>143</v>
      </c>
      <c r="C19" s="10"/>
      <c r="D19" s="10"/>
      <c r="E19" s="10"/>
      <c r="F19" s="10"/>
      <c r="G19" s="10"/>
      <c r="H19" s="79"/>
      <c r="I19" s="79"/>
      <c r="J19" s="79"/>
      <c r="K19" s="411">
        <v>0</v>
      </c>
      <c r="L19" s="411"/>
      <c r="M19" s="411"/>
      <c r="N19" s="11" t="s">
        <v>163</v>
      </c>
      <c r="O19" s="79"/>
      <c r="P19" s="79"/>
      <c r="Q19" s="79" t="s">
        <v>154</v>
      </c>
      <c r="S19" s="79"/>
      <c r="T19" s="79"/>
      <c r="U19" s="411">
        <v>0</v>
      </c>
      <c r="V19" s="411"/>
      <c r="W19" s="411"/>
      <c r="X19" s="70" t="s">
        <v>162</v>
      </c>
      <c r="Y19" s="150"/>
      <c r="Z19" s="450"/>
    </row>
    <row r="20" spans="2:26" s="71" customFormat="1" ht="15.95" customHeight="1" x14ac:dyDescent="0.2">
      <c r="B20" s="10" t="s">
        <v>144</v>
      </c>
      <c r="C20" s="10"/>
      <c r="D20" s="10"/>
      <c r="E20" s="10"/>
      <c r="F20" s="10"/>
      <c r="G20" s="10"/>
      <c r="H20" s="79"/>
      <c r="I20" s="79"/>
      <c r="J20" s="79"/>
      <c r="K20" s="411">
        <v>0</v>
      </c>
      <c r="L20" s="411"/>
      <c r="M20" s="411"/>
      <c r="N20" s="11" t="s">
        <v>163</v>
      </c>
      <c r="O20" s="79"/>
      <c r="P20" s="79"/>
      <c r="Q20" s="79" t="s">
        <v>155</v>
      </c>
      <c r="S20" s="79"/>
      <c r="T20" s="79"/>
      <c r="U20" s="411">
        <v>0</v>
      </c>
      <c r="V20" s="411"/>
      <c r="W20" s="411"/>
      <c r="X20" s="70" t="s">
        <v>162</v>
      </c>
      <c r="Y20" s="150"/>
      <c r="Z20" s="450"/>
    </row>
    <row r="21" spans="2:26" s="71" customFormat="1" ht="15.95" customHeight="1" x14ac:dyDescent="0.2">
      <c r="B21" s="10" t="s">
        <v>145</v>
      </c>
      <c r="C21" s="10"/>
      <c r="D21" s="10"/>
      <c r="E21" s="10"/>
      <c r="F21" s="10"/>
      <c r="G21" s="10"/>
      <c r="H21" s="79"/>
      <c r="I21" s="79"/>
      <c r="J21" s="79"/>
      <c r="K21" s="411">
        <v>0</v>
      </c>
      <c r="L21" s="411"/>
      <c r="M21" s="411"/>
      <c r="N21" s="11" t="s">
        <v>163</v>
      </c>
      <c r="O21" s="79"/>
      <c r="P21" s="79"/>
      <c r="Q21" s="79" t="s">
        <v>156</v>
      </c>
      <c r="S21" s="79"/>
      <c r="T21" s="79"/>
      <c r="U21" s="411">
        <v>0</v>
      </c>
      <c r="V21" s="411"/>
      <c r="W21" s="411"/>
      <c r="X21" s="70" t="s">
        <v>162</v>
      </c>
      <c r="Y21" s="150"/>
      <c r="Z21" s="450"/>
    </row>
    <row r="22" spans="2:26" s="71" customFormat="1" ht="15.95" customHeight="1" x14ac:dyDescent="0.2">
      <c r="B22" s="10" t="s">
        <v>146</v>
      </c>
      <c r="C22" s="10"/>
      <c r="D22" s="10"/>
      <c r="E22" s="10"/>
      <c r="F22" s="10"/>
      <c r="G22" s="10"/>
      <c r="H22" s="79"/>
      <c r="I22" s="79"/>
      <c r="J22" s="79"/>
      <c r="K22" s="411">
        <v>0</v>
      </c>
      <c r="L22" s="411"/>
      <c r="M22" s="411"/>
      <c r="N22" s="11" t="s">
        <v>163</v>
      </c>
      <c r="O22" s="79"/>
      <c r="P22" s="79"/>
      <c r="Q22" s="79" t="s">
        <v>157</v>
      </c>
      <c r="S22" s="79"/>
      <c r="T22" s="79"/>
      <c r="U22" s="411">
        <v>0</v>
      </c>
      <c r="V22" s="411"/>
      <c r="W22" s="411"/>
      <c r="X22" s="70" t="s">
        <v>162</v>
      </c>
      <c r="Y22" s="150"/>
      <c r="Z22" s="450"/>
    </row>
    <row r="23" spans="2:26" s="71" customFormat="1" ht="15.95" customHeight="1" x14ac:dyDescent="0.2">
      <c r="B23" s="10" t="s">
        <v>147</v>
      </c>
      <c r="C23" s="10"/>
      <c r="D23" s="10"/>
      <c r="E23" s="10"/>
      <c r="F23" s="10"/>
      <c r="G23" s="10"/>
      <c r="H23" s="79"/>
      <c r="I23" s="79"/>
      <c r="J23" s="79"/>
      <c r="K23" s="411">
        <v>0</v>
      </c>
      <c r="L23" s="411"/>
      <c r="M23" s="411"/>
      <c r="N23" s="11" t="s">
        <v>163</v>
      </c>
      <c r="O23" s="79"/>
      <c r="P23" s="79"/>
      <c r="Q23" s="79" t="s">
        <v>158</v>
      </c>
      <c r="S23" s="79"/>
      <c r="T23" s="79"/>
      <c r="U23" s="411">
        <v>0</v>
      </c>
      <c r="V23" s="411"/>
      <c r="W23" s="411"/>
      <c r="X23" s="70" t="s">
        <v>162</v>
      </c>
      <c r="Y23" s="150"/>
      <c r="Z23" s="450"/>
    </row>
    <row r="24" spans="2:26" s="71" customFormat="1" ht="15.95" customHeight="1" x14ac:dyDescent="0.2">
      <c r="B24" s="410" t="s">
        <v>148</v>
      </c>
      <c r="C24" s="410"/>
      <c r="D24" s="410"/>
      <c r="E24" s="410"/>
      <c r="F24" s="410"/>
      <c r="G24" s="410"/>
      <c r="H24" s="79"/>
      <c r="I24" s="79"/>
      <c r="J24" s="79"/>
      <c r="K24" s="411">
        <v>0</v>
      </c>
      <c r="L24" s="411"/>
      <c r="M24" s="411"/>
      <c r="N24" s="11" t="s">
        <v>163</v>
      </c>
      <c r="O24" s="79"/>
      <c r="P24" s="79"/>
      <c r="Q24" s="79" t="s">
        <v>159</v>
      </c>
      <c r="S24" s="79"/>
      <c r="T24" s="79"/>
      <c r="U24" s="411">
        <v>0</v>
      </c>
      <c r="V24" s="411"/>
      <c r="W24" s="411"/>
      <c r="X24" s="70" t="s">
        <v>162</v>
      </c>
      <c r="Y24" s="150"/>
      <c r="Z24" s="450"/>
    </row>
    <row r="25" spans="2:26" s="71" customFormat="1" ht="15.95" customHeight="1" x14ac:dyDescent="0.2">
      <c r="B25" s="410" t="s">
        <v>148</v>
      </c>
      <c r="C25" s="410"/>
      <c r="D25" s="410"/>
      <c r="E25" s="410"/>
      <c r="F25" s="410"/>
      <c r="G25" s="410"/>
      <c r="H25" s="79"/>
      <c r="I25" s="79"/>
      <c r="J25" s="79"/>
      <c r="K25" s="419">
        <v>0</v>
      </c>
      <c r="L25" s="419"/>
      <c r="M25" s="419"/>
      <c r="N25" s="12" t="s">
        <v>163</v>
      </c>
      <c r="O25" s="79"/>
      <c r="P25" s="79"/>
      <c r="Q25" s="79" t="s">
        <v>160</v>
      </c>
      <c r="S25" s="79"/>
      <c r="T25" s="79"/>
      <c r="U25" s="419">
        <v>0</v>
      </c>
      <c r="V25" s="419"/>
      <c r="W25" s="419"/>
      <c r="X25" s="80" t="s">
        <v>162</v>
      </c>
      <c r="Y25" s="150"/>
      <c r="Z25" s="450"/>
    </row>
    <row r="26" spans="2:26" s="71" customFormat="1" ht="3.95" customHeight="1" x14ac:dyDescent="0.2">
      <c r="B26" s="44"/>
      <c r="C26" s="44"/>
      <c r="D26" s="44"/>
      <c r="E26" s="44"/>
      <c r="F26" s="44"/>
      <c r="G26" s="44"/>
      <c r="H26" s="79"/>
      <c r="I26" s="79"/>
      <c r="J26" s="79"/>
      <c r="K26" s="81"/>
      <c r="L26" s="81"/>
      <c r="M26" s="81"/>
      <c r="N26" s="48"/>
      <c r="O26" s="79"/>
      <c r="P26" s="79"/>
      <c r="Q26" s="79"/>
      <c r="S26" s="79"/>
      <c r="T26" s="79"/>
      <c r="U26" s="81"/>
      <c r="V26" s="81"/>
      <c r="W26" s="81"/>
      <c r="X26" s="82"/>
      <c r="Y26" s="150"/>
      <c r="Z26" s="213"/>
    </row>
    <row r="27" spans="2:26" s="79" customFormat="1" ht="15.95" customHeight="1" x14ac:dyDescent="0.2">
      <c r="B27" s="10" t="s">
        <v>198</v>
      </c>
      <c r="C27" s="10"/>
      <c r="D27" s="10"/>
      <c r="E27" s="10"/>
      <c r="F27" s="10"/>
      <c r="G27" s="10"/>
      <c r="I27" s="83"/>
      <c r="J27" s="83"/>
      <c r="K27" s="442">
        <f>SUM(K14:M16)-SUM(K17:M25)</f>
        <v>0</v>
      </c>
      <c r="L27" s="442"/>
      <c r="M27" s="442"/>
      <c r="N27" s="84"/>
      <c r="O27" s="83"/>
      <c r="P27" s="83"/>
      <c r="Q27" s="49" t="s">
        <v>197</v>
      </c>
      <c r="R27" s="83"/>
      <c r="S27" s="83"/>
      <c r="T27" s="83"/>
      <c r="U27" s="442">
        <f>SUM(U14:W25)</f>
        <v>0</v>
      </c>
      <c r="V27" s="442"/>
      <c r="W27" s="442"/>
      <c r="X27" s="85"/>
      <c r="Y27" s="150"/>
      <c r="Z27" s="213"/>
    </row>
    <row r="28" spans="2:26" s="79" customFormat="1" ht="15.95" customHeight="1" x14ac:dyDescent="0.2">
      <c r="N28" s="85"/>
      <c r="X28" s="85"/>
      <c r="Y28" s="150"/>
      <c r="Z28" s="213"/>
    </row>
    <row r="29" spans="2:26" s="79" customFormat="1" ht="15.95" customHeight="1" x14ac:dyDescent="0.2">
      <c r="B29" s="79" t="s">
        <v>198</v>
      </c>
      <c r="K29" s="443">
        <f>K27</f>
        <v>0</v>
      </c>
      <c r="L29" s="444"/>
      <c r="M29" s="444"/>
      <c r="X29" s="85"/>
      <c r="Y29" s="150"/>
      <c r="Z29" s="213"/>
    </row>
    <row r="30" spans="2:26" s="79" customFormat="1" ht="15.95" customHeight="1" x14ac:dyDescent="0.2">
      <c r="B30" s="79" t="s">
        <v>197</v>
      </c>
      <c r="K30" s="437">
        <f>U27</f>
        <v>0</v>
      </c>
      <c r="L30" s="438"/>
      <c r="M30" s="438"/>
      <c r="N30" s="9" t="s">
        <v>162</v>
      </c>
      <c r="O30" s="86"/>
      <c r="P30" s="87"/>
      <c r="U30" s="88"/>
      <c r="V30" s="89"/>
      <c r="W30" s="89"/>
      <c r="X30" s="85"/>
      <c r="Y30" s="150"/>
      <c r="Z30" s="213"/>
    </row>
    <row r="31" spans="2:26" s="79" customFormat="1" ht="3.95" customHeight="1" x14ac:dyDescent="0.2">
      <c r="K31" s="144"/>
      <c r="L31" s="194"/>
      <c r="M31" s="194"/>
      <c r="N31" s="24"/>
      <c r="O31" s="86"/>
      <c r="P31" s="87"/>
      <c r="U31" s="88"/>
      <c r="V31" s="89"/>
      <c r="W31" s="89"/>
      <c r="X31" s="85"/>
      <c r="Y31" s="150"/>
      <c r="Z31" s="213"/>
    </row>
    <row r="32" spans="2:26" s="79" customFormat="1" ht="15.95" customHeight="1" x14ac:dyDescent="0.2">
      <c r="B32" s="79" t="s">
        <v>210</v>
      </c>
      <c r="K32" s="443">
        <f>SUM(K29:M30)</f>
        <v>0</v>
      </c>
      <c r="L32" s="444"/>
      <c r="M32" s="444"/>
      <c r="O32" s="47" t="s">
        <v>164</v>
      </c>
      <c r="P32" s="86">
        <f>U9</f>
        <v>0</v>
      </c>
      <c r="Q32" s="87" t="str">
        <f>V9</f>
        <v>Monat</v>
      </c>
      <c r="S32" s="79" t="s">
        <v>175</v>
      </c>
      <c r="U32" s="427">
        <f>IF(U9=0,0,ROUND(K32/U9,2))</f>
        <v>0</v>
      </c>
      <c r="V32" s="428"/>
      <c r="W32" s="428"/>
      <c r="X32" s="85"/>
      <c r="Y32" s="150"/>
      <c r="Z32" s="213"/>
    </row>
    <row r="33" spans="2:26" s="79" customFormat="1" ht="15.95" customHeight="1" x14ac:dyDescent="0.2">
      <c r="K33" s="104"/>
      <c r="L33" s="105"/>
      <c r="M33" s="105"/>
      <c r="N33" s="47"/>
      <c r="O33" s="86"/>
      <c r="P33" s="87"/>
      <c r="U33" s="88"/>
      <c r="V33" s="89"/>
      <c r="W33" s="89"/>
      <c r="X33" s="85"/>
      <c r="Y33" s="150"/>
      <c r="Z33" s="213"/>
    </row>
    <row r="34" spans="2:26" s="68" customFormat="1" ht="20.100000000000001" customHeight="1" x14ac:dyDescent="0.2">
      <c r="B34" s="457" t="s">
        <v>258</v>
      </c>
      <c r="C34" s="457"/>
      <c r="D34" s="457"/>
      <c r="E34" s="457"/>
      <c r="F34" s="457"/>
      <c r="G34" s="457"/>
      <c r="H34" s="457"/>
      <c r="I34" s="457"/>
      <c r="J34" s="457"/>
      <c r="K34" s="457"/>
      <c r="L34" s="457"/>
      <c r="M34" s="457"/>
      <c r="N34" s="457"/>
      <c r="O34" s="457"/>
      <c r="P34" s="457"/>
      <c r="Q34" s="457"/>
      <c r="R34" s="457"/>
      <c r="S34" s="457"/>
      <c r="T34" s="457"/>
      <c r="U34" s="457"/>
      <c r="V34" s="457"/>
      <c r="W34" s="457"/>
      <c r="X34" s="457"/>
      <c r="Y34" s="150"/>
      <c r="Z34" s="213"/>
    </row>
    <row r="35" spans="2:26" s="169" customFormat="1" ht="15.95" customHeight="1" x14ac:dyDescent="0.2">
      <c r="B35" s="172"/>
      <c r="C35" s="172"/>
      <c r="D35" s="172"/>
      <c r="E35" s="172"/>
      <c r="F35" s="172"/>
      <c r="G35" s="172"/>
      <c r="H35" s="172"/>
      <c r="I35" s="172"/>
      <c r="J35" s="172"/>
      <c r="K35" s="172"/>
      <c r="L35" s="172"/>
      <c r="M35" s="172"/>
      <c r="N35" s="172"/>
      <c r="U35" s="173"/>
      <c r="V35" s="173"/>
      <c r="W35" s="173"/>
      <c r="X35" s="171"/>
      <c r="Y35" s="161"/>
      <c r="Z35" s="214"/>
    </row>
    <row r="36" spans="2:26" ht="15.95" customHeight="1" x14ac:dyDescent="0.2">
      <c r="B36" s="175" t="s">
        <v>261</v>
      </c>
      <c r="U36" s="468"/>
      <c r="V36" s="468"/>
      <c r="W36" s="468"/>
      <c r="Y36" s="160"/>
      <c r="Z36" s="452" t="s">
        <v>275</v>
      </c>
    </row>
    <row r="37" spans="2:26" ht="15.95" customHeight="1" x14ac:dyDescent="0.2">
      <c r="B37" s="174" t="str">
        <f>"Pauschale 5% (max. " &amp; DTParameter!D35 &amp; " €) von"</f>
        <v>Pauschale 5% (max. 150 €) von</v>
      </c>
      <c r="F37" s="177"/>
      <c r="G37" s="177"/>
      <c r="H37" s="511">
        <f>U32</f>
        <v>0</v>
      </c>
      <c r="I37" s="511"/>
      <c r="J37" s="511"/>
      <c r="K37" s="174" t="s">
        <v>175</v>
      </c>
      <c r="P37" s="468">
        <f>IF(H37*5%&gt;DTParameter!D35,DTParameter!D35,H37*5%)</f>
        <v>0</v>
      </c>
      <c r="Q37" s="468"/>
      <c r="R37" s="468"/>
      <c r="U37" s="468"/>
      <c r="V37" s="468"/>
      <c r="W37" s="468"/>
      <c r="Y37" s="160"/>
      <c r="Z37" s="452"/>
    </row>
    <row r="38" spans="2:26" ht="15.95" customHeight="1" x14ac:dyDescent="0.2">
      <c r="U38" s="173"/>
      <c r="V38" s="173"/>
      <c r="W38" s="173"/>
      <c r="Y38" s="160"/>
      <c r="Z38" s="452"/>
    </row>
    <row r="39" spans="2:26" ht="15.95" customHeight="1" x14ac:dyDescent="0.2">
      <c r="B39" s="178" t="s">
        <v>264</v>
      </c>
      <c r="P39" s="512" t="s">
        <v>260</v>
      </c>
      <c r="Q39" s="512"/>
      <c r="R39" s="512"/>
      <c r="U39" s="173"/>
      <c r="V39" s="173"/>
      <c r="W39" s="173"/>
      <c r="Y39" s="160"/>
      <c r="Z39" s="452"/>
    </row>
    <row r="40" spans="2:26" ht="15.95" customHeight="1" x14ac:dyDescent="0.2">
      <c r="B40" s="178"/>
      <c r="U40" s="173"/>
      <c r="V40" s="173"/>
      <c r="W40" s="173"/>
      <c r="Y40" s="160"/>
      <c r="Z40" s="452"/>
    </row>
    <row r="41" spans="2:26" ht="15.95" customHeight="1" x14ac:dyDescent="0.2">
      <c r="B41" s="174" t="s">
        <v>259</v>
      </c>
      <c r="L41" s="211">
        <v>0</v>
      </c>
      <c r="M41" s="179" t="s">
        <v>177</v>
      </c>
      <c r="U41" s="173"/>
      <c r="V41" s="173"/>
      <c r="W41" s="173"/>
      <c r="Y41" s="160"/>
      <c r="Z41" s="451"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x14ac:dyDescent="0.2">
      <c r="B42" s="179" t="s">
        <v>262</v>
      </c>
      <c r="C42" s="179"/>
      <c r="E42" s="211">
        <v>0</v>
      </c>
      <c r="F42" s="179" t="s">
        <v>246</v>
      </c>
      <c r="G42" s="179"/>
      <c r="H42" s="179"/>
      <c r="I42" s="211">
        <f>U9</f>
        <v>0</v>
      </c>
      <c r="J42" s="90" t="str">
        <f>"Monat" &amp; IF((DATEDIF(K9,O9,"m")+1)&gt;1,"e","")</f>
        <v>Monat</v>
      </c>
      <c r="K42" s="179"/>
      <c r="P42" s="180"/>
      <c r="Q42" s="180"/>
      <c r="R42" s="179"/>
      <c r="S42" s="179"/>
      <c r="T42" s="179"/>
      <c r="U42" s="173"/>
      <c r="V42" s="173"/>
      <c r="W42" s="173"/>
      <c r="Y42" s="160"/>
      <c r="Z42" s="451"/>
    </row>
    <row r="43" spans="2:26" ht="15.95" customHeight="1" x14ac:dyDescent="0.2">
      <c r="B43" s="187" t="str">
        <f>"Hinfahrt:    " &amp; IF(L41&gt;30,"30 km x " &amp; KBParameter!C51&amp; " € + "&amp; L41 -30 &amp; " km x "&amp;KBParameter!C51/2,L41 &amp; " km x " &amp; KBParameter!C51) &amp; " € x " &amp;E42&amp; " Tage / " &amp; I42 &amp; " Mon."</f>
        <v>Hinfahrt:    0 km x 0,3 € x 0 Tage / 0 Mon.</v>
      </c>
      <c r="C43" s="181"/>
      <c r="D43" s="181"/>
      <c r="E43" s="182"/>
      <c r="F43" s="181"/>
      <c r="G43" s="181"/>
      <c r="H43" s="181"/>
      <c r="I43" s="181"/>
      <c r="J43" s="181"/>
      <c r="K43" s="181"/>
      <c r="L43" s="468">
        <f>IF(L41&gt;0,(IF(L41&gt;=30,30*KBParameter!C51,L41*KBParameter!C51)+IF(L41&gt;=30,(L41-30)*KBParameter!C51/2,0))*E42/I42,0)</f>
        <v>0</v>
      </c>
      <c r="M43" s="468"/>
      <c r="N43" s="468"/>
      <c r="O43" s="179" t="s">
        <v>162</v>
      </c>
      <c r="Q43" s="180"/>
      <c r="R43" s="179"/>
      <c r="S43" s="179"/>
      <c r="T43" s="179"/>
      <c r="U43" s="173"/>
      <c r="V43" s="173"/>
      <c r="W43" s="173"/>
      <c r="Y43" s="160"/>
      <c r="Z43" s="451"/>
    </row>
    <row r="44" spans="2:26" ht="15.95" customHeight="1" x14ac:dyDescent="0.2">
      <c r="B44" s="187" t="str">
        <f>"Rückfahrt: " &amp; IF(L41&gt;30,"30 km x " &amp; KBParameter!C51&amp; " € + "&amp; L41 -30 &amp; " km x "&amp;KBParameter!C51/2,L41 &amp; " km x " &amp; KBParameter!C51) &amp; " € x " &amp;E42&amp; " Tage / " &amp; I42 &amp; " Mon."</f>
        <v>Rückfahrt: 0 km x 0,3 € x 0 Tage / 0 Mon.</v>
      </c>
      <c r="C44" s="181"/>
      <c r="D44" s="181"/>
      <c r="E44" s="182"/>
      <c r="F44" s="181"/>
      <c r="G44" s="181"/>
      <c r="H44" s="181"/>
      <c r="I44" s="181"/>
      <c r="J44" s="181"/>
      <c r="K44" s="181"/>
      <c r="L44" s="468">
        <f>IF(L41&gt;0,(IF(L41&gt;=30,30*KBParameter!C51,L41*KBParameter!C51)+IF(L41&gt;=30,(L41-30)*KBParameter!C51/2,0))*E42/I42,0)</f>
        <v>0</v>
      </c>
      <c r="M44" s="468"/>
      <c r="N44" s="468"/>
      <c r="O44" s="179" t="s">
        <v>162</v>
      </c>
      <c r="Q44" s="180"/>
      <c r="R44" s="179"/>
      <c r="S44" s="179"/>
      <c r="T44" s="179"/>
      <c r="U44" s="173"/>
      <c r="V44" s="173"/>
      <c r="W44" s="173"/>
      <c r="Y44" s="160"/>
      <c r="Z44" s="451"/>
    </row>
    <row r="45" spans="2:26" ht="15.95" customHeight="1" x14ac:dyDescent="0.2">
      <c r="B45" s="187"/>
      <c r="C45" s="181"/>
      <c r="D45" s="181"/>
      <c r="E45" s="182"/>
      <c r="F45" s="181"/>
      <c r="G45" s="181"/>
      <c r="H45" s="181"/>
      <c r="I45" s="181"/>
      <c r="J45" s="181"/>
      <c r="K45" s="181"/>
      <c r="L45" s="109"/>
      <c r="M45" s="109"/>
      <c r="N45" s="109"/>
      <c r="O45" s="179"/>
      <c r="Q45" s="180"/>
      <c r="R45" s="179"/>
      <c r="S45" s="179"/>
      <c r="T45" s="179"/>
      <c r="U45" s="173"/>
      <c r="V45" s="173"/>
      <c r="W45" s="173"/>
      <c r="Y45" s="160"/>
      <c r="Z45" s="214"/>
    </row>
    <row r="46" spans="2:26" ht="15.95" customHeight="1" x14ac:dyDescent="0.2">
      <c r="B46" s="440" t="s">
        <v>263</v>
      </c>
      <c r="C46" s="440"/>
      <c r="D46" s="440"/>
      <c r="E46" s="440"/>
      <c r="F46" s="440"/>
      <c r="G46" s="440"/>
      <c r="H46" s="440"/>
      <c r="I46" s="440"/>
      <c r="J46" s="440"/>
      <c r="K46" s="206"/>
      <c r="L46" s="520">
        <v>0</v>
      </c>
      <c r="M46" s="520"/>
      <c r="N46" s="520"/>
      <c r="O46" s="183" t="s">
        <v>162</v>
      </c>
      <c r="Q46" s="207"/>
      <c r="S46" s="179"/>
      <c r="T46" s="179"/>
      <c r="U46" s="173"/>
      <c r="V46" s="173"/>
      <c r="W46" s="173"/>
      <c r="Y46" s="160"/>
      <c r="Z46" s="451" t="s">
        <v>274</v>
      </c>
    </row>
    <row r="47" spans="2:26" ht="3.95" customHeight="1" x14ac:dyDescent="0.2">
      <c r="B47" s="181"/>
      <c r="C47" s="181"/>
      <c r="D47" s="181"/>
      <c r="E47" s="182"/>
      <c r="F47" s="181"/>
      <c r="G47" s="181"/>
      <c r="H47" s="181"/>
      <c r="I47" s="181"/>
      <c r="J47" s="181"/>
      <c r="K47" s="181"/>
      <c r="L47" s="158"/>
      <c r="M47" s="158"/>
      <c r="N47" s="188"/>
      <c r="O47" s="180"/>
      <c r="Q47" s="180"/>
      <c r="R47" s="179"/>
      <c r="S47" s="179"/>
      <c r="T47" s="179"/>
      <c r="U47" s="173"/>
      <c r="V47" s="173"/>
      <c r="W47" s="173"/>
      <c r="Y47" s="160"/>
      <c r="Z47" s="451"/>
    </row>
    <row r="48" spans="2:26" ht="15.95" customHeight="1" x14ac:dyDescent="0.2">
      <c r="B48" s="184" t="s">
        <v>178</v>
      </c>
      <c r="C48" s="184"/>
      <c r="D48" s="184"/>
      <c r="E48" s="184"/>
      <c r="F48" s="184"/>
      <c r="G48" s="184"/>
      <c r="H48" s="184"/>
      <c r="I48" s="184"/>
      <c r="J48" s="184"/>
      <c r="K48" s="179"/>
      <c r="L48" s="521">
        <f>SUM(L43:N46)</f>
        <v>0</v>
      </c>
      <c r="M48" s="521"/>
      <c r="N48" s="521"/>
      <c r="O48" s="185"/>
      <c r="P48" s="522">
        <f>L48</f>
        <v>0</v>
      </c>
      <c r="Q48" s="522"/>
      <c r="R48" s="522"/>
      <c r="S48" s="186"/>
      <c r="T48" s="186"/>
      <c r="X48" s="174"/>
      <c r="Y48" s="160"/>
      <c r="Z48" s="451"/>
    </row>
    <row r="49" spans="2:26" ht="15.95" customHeight="1" x14ac:dyDescent="0.2">
      <c r="B49" s="184"/>
      <c r="C49" s="184"/>
      <c r="D49" s="184"/>
      <c r="E49" s="184"/>
      <c r="F49" s="184"/>
      <c r="G49" s="184"/>
      <c r="H49" s="184"/>
      <c r="I49" s="184"/>
      <c r="J49" s="184"/>
      <c r="K49" s="179"/>
      <c r="L49" s="156"/>
      <c r="M49" s="156"/>
      <c r="N49" s="156"/>
      <c r="O49" s="185"/>
      <c r="P49" s="157"/>
      <c r="Q49" s="157"/>
      <c r="R49" s="157"/>
      <c r="S49" s="186"/>
      <c r="T49" s="186"/>
      <c r="X49" s="174"/>
      <c r="Y49" s="160"/>
      <c r="Z49" s="451" t="s">
        <v>273</v>
      </c>
    </row>
    <row r="50" spans="2:26" ht="15.95" customHeight="1" x14ac:dyDescent="0.2">
      <c r="B50" s="184" t="str">
        <f>"Maßgeblich ist der höhere Betrag (mithin hier die " &amp; IF(P37&gt;P48,"o. g. Pauschale)","nachgewiesenen Kosten)")</f>
        <v>Maßgeblich ist der höhere Betrag (mithin hier die nachgewiesenen Kosten)</v>
      </c>
      <c r="C50" s="184"/>
      <c r="D50" s="184"/>
      <c r="E50" s="184"/>
      <c r="F50" s="184"/>
      <c r="G50" s="184"/>
      <c r="H50" s="184"/>
      <c r="I50" s="184"/>
      <c r="J50" s="184"/>
      <c r="K50" s="179"/>
      <c r="L50" s="157"/>
      <c r="M50" s="157"/>
      <c r="N50" s="157"/>
      <c r="O50" s="186"/>
      <c r="P50" s="186"/>
      <c r="Q50" s="186"/>
      <c r="R50" s="186"/>
      <c r="S50" s="186"/>
      <c r="T50" s="186"/>
      <c r="U50" s="468">
        <f>IF(P37&gt;P48,P37,P48)</f>
        <v>0</v>
      </c>
      <c r="V50" s="468"/>
      <c r="W50" s="468"/>
      <c r="X50" s="171" t="s">
        <v>163</v>
      </c>
      <c r="Y50" s="160"/>
      <c r="Z50" s="451"/>
    </row>
    <row r="51" spans="2:26" ht="15.95" customHeight="1" x14ac:dyDescent="0.2">
      <c r="B51" s="184"/>
      <c r="C51" s="184"/>
      <c r="D51" s="184"/>
      <c r="E51" s="184"/>
      <c r="F51" s="184"/>
      <c r="G51" s="184"/>
      <c r="H51" s="184"/>
      <c r="I51" s="184"/>
      <c r="J51" s="184"/>
      <c r="K51" s="179"/>
      <c r="L51" s="157"/>
      <c r="M51" s="157"/>
      <c r="N51" s="157"/>
      <c r="O51" s="186"/>
      <c r="P51" s="186"/>
      <c r="Q51" s="186"/>
      <c r="R51" s="186"/>
      <c r="S51" s="186"/>
      <c r="T51" s="186"/>
      <c r="U51" s="173"/>
      <c r="V51" s="173"/>
      <c r="W51" s="173"/>
      <c r="X51" s="171"/>
      <c r="Y51" s="160"/>
      <c r="Z51" s="214"/>
    </row>
    <row r="52" spans="2:26" s="68" customFormat="1" ht="20.100000000000001" customHeight="1" x14ac:dyDescent="0.2">
      <c r="B52" s="457" t="s">
        <v>255</v>
      </c>
      <c r="C52" s="457"/>
      <c r="D52" s="457"/>
      <c r="E52" s="457"/>
      <c r="F52" s="457"/>
      <c r="G52" s="457"/>
      <c r="H52" s="457"/>
      <c r="I52" s="457"/>
      <c r="J52" s="457"/>
      <c r="K52" s="457"/>
      <c r="L52" s="457"/>
      <c r="M52" s="457"/>
      <c r="N52" s="457"/>
      <c r="O52" s="457"/>
      <c r="P52" s="457"/>
      <c r="Q52" s="457"/>
      <c r="R52" s="457"/>
      <c r="S52" s="457"/>
      <c r="T52" s="457"/>
      <c r="U52" s="457"/>
      <c r="V52" s="457"/>
      <c r="W52" s="457"/>
      <c r="X52" s="457"/>
      <c r="Y52" s="150"/>
      <c r="Z52" s="213"/>
    </row>
    <row r="53" spans="2:26" s="169" customFormat="1" ht="15.95" customHeight="1" x14ac:dyDescent="0.2">
      <c r="B53" s="172"/>
      <c r="C53" s="172"/>
      <c r="D53" s="172"/>
      <c r="E53" s="172"/>
      <c r="F53" s="172"/>
      <c r="G53" s="172"/>
      <c r="H53" s="172"/>
      <c r="I53" s="172"/>
      <c r="J53" s="172"/>
      <c r="K53" s="172"/>
      <c r="L53" s="172"/>
      <c r="M53" s="172"/>
      <c r="N53" s="172"/>
      <c r="U53" s="173"/>
      <c r="V53" s="173"/>
      <c r="W53" s="173"/>
      <c r="X53" s="171"/>
      <c r="Y53" s="161"/>
      <c r="Z53" s="214"/>
    </row>
    <row r="54" spans="2:26" ht="15.95" customHeight="1" x14ac:dyDescent="0.2">
      <c r="B54" s="440" t="s">
        <v>247</v>
      </c>
      <c r="C54" s="440"/>
      <c r="D54" s="440"/>
      <c r="E54" s="440"/>
      <c r="F54" s="440"/>
      <c r="G54" s="440"/>
      <c r="H54" s="440"/>
      <c r="I54" s="440"/>
      <c r="J54" s="440"/>
      <c r="K54" s="440"/>
      <c r="L54" s="440"/>
      <c r="M54" s="440"/>
      <c r="N54" s="440"/>
      <c r="O54" s="186"/>
      <c r="P54" s="186"/>
      <c r="Q54" s="186"/>
      <c r="R54" s="186"/>
      <c r="S54" s="186"/>
      <c r="T54" s="186"/>
      <c r="U54" s="455">
        <v>0</v>
      </c>
      <c r="V54" s="455"/>
      <c r="W54" s="455"/>
      <c r="X54" s="171" t="s">
        <v>162</v>
      </c>
      <c r="Y54" s="160"/>
      <c r="Z54" s="214" t="s">
        <v>276</v>
      </c>
    </row>
    <row r="55" spans="2:26" ht="15.95" customHeight="1" x14ac:dyDescent="0.2">
      <c r="B55" s="440" t="s">
        <v>248</v>
      </c>
      <c r="C55" s="440"/>
      <c r="D55" s="440"/>
      <c r="E55" s="440"/>
      <c r="F55" s="440"/>
      <c r="G55" s="440"/>
      <c r="H55" s="440"/>
      <c r="I55" s="440"/>
      <c r="J55" s="440"/>
      <c r="K55" s="440"/>
      <c r="L55" s="440"/>
      <c r="M55" s="440"/>
      <c r="N55" s="440"/>
      <c r="O55" s="186"/>
      <c r="P55" s="186"/>
      <c r="Q55" s="186"/>
      <c r="R55" s="186"/>
      <c r="S55" s="186"/>
      <c r="T55" s="186"/>
      <c r="U55" s="455">
        <v>0</v>
      </c>
      <c r="V55" s="455"/>
      <c r="W55" s="455"/>
      <c r="X55" s="171" t="s">
        <v>162</v>
      </c>
      <c r="Y55" s="160"/>
      <c r="Z55" s="214"/>
    </row>
    <row r="56" spans="2:26" ht="15.95" customHeight="1" x14ac:dyDescent="0.2">
      <c r="B56" s="440" t="s">
        <v>249</v>
      </c>
      <c r="C56" s="440"/>
      <c r="D56" s="440"/>
      <c r="E56" s="440"/>
      <c r="F56" s="440"/>
      <c r="G56" s="440"/>
      <c r="H56" s="440"/>
      <c r="I56" s="440"/>
      <c r="J56" s="440"/>
      <c r="K56" s="440"/>
      <c r="L56" s="440"/>
      <c r="M56" s="440"/>
      <c r="N56" s="440"/>
      <c r="O56" s="186"/>
      <c r="P56" s="186"/>
      <c r="Q56" s="186"/>
      <c r="R56" s="186"/>
      <c r="S56" s="186"/>
      <c r="T56" s="186"/>
      <c r="U56" s="455">
        <v>0</v>
      </c>
      <c r="V56" s="455"/>
      <c r="W56" s="455"/>
      <c r="X56" s="171" t="s">
        <v>162</v>
      </c>
      <c r="Y56" s="160"/>
      <c r="Z56" s="214"/>
    </row>
    <row r="57" spans="2:26" ht="15.95" customHeight="1" x14ac:dyDescent="0.2">
      <c r="B57" s="440" t="s">
        <v>250</v>
      </c>
      <c r="C57" s="440"/>
      <c r="D57" s="440"/>
      <c r="E57" s="440"/>
      <c r="F57" s="440"/>
      <c r="G57" s="440"/>
      <c r="H57" s="440"/>
      <c r="I57" s="440"/>
      <c r="J57" s="440"/>
      <c r="K57" s="440"/>
      <c r="L57" s="440"/>
      <c r="M57" s="440"/>
      <c r="N57" s="440"/>
      <c r="O57" s="186"/>
      <c r="P57" s="186"/>
      <c r="Q57" s="186"/>
      <c r="R57" s="186"/>
      <c r="S57" s="186"/>
      <c r="T57" s="186"/>
      <c r="U57" s="455">
        <v>0</v>
      </c>
      <c r="V57" s="455"/>
      <c r="W57" s="455"/>
      <c r="X57" s="171" t="s">
        <v>162</v>
      </c>
      <c r="Y57" s="160"/>
      <c r="Z57" s="214"/>
    </row>
    <row r="58" spans="2:26" ht="15.95" customHeight="1" x14ac:dyDescent="0.2">
      <c r="B58" s="461" t="s">
        <v>251</v>
      </c>
      <c r="C58" s="461"/>
      <c r="D58" s="461"/>
      <c r="E58" s="461"/>
      <c r="F58" s="461"/>
      <c r="G58" s="461"/>
      <c r="H58" s="461"/>
      <c r="I58" s="461"/>
      <c r="J58" s="461"/>
      <c r="K58" s="461"/>
      <c r="L58" s="461"/>
      <c r="M58" s="461"/>
      <c r="N58" s="461"/>
      <c r="O58" s="186"/>
      <c r="P58" s="186"/>
      <c r="Q58" s="186"/>
      <c r="R58" s="186"/>
      <c r="S58" s="186"/>
      <c r="T58" s="186"/>
      <c r="U58" s="519">
        <f>'Einkommen selbst. Tätigkeit'!G76</f>
        <v>0</v>
      </c>
      <c r="V58" s="519"/>
      <c r="W58" s="519"/>
      <c r="X58" s="189" t="s">
        <v>162</v>
      </c>
      <c r="Y58" s="160"/>
      <c r="Z58" s="214" t="s">
        <v>337</v>
      </c>
    </row>
    <row r="59" spans="2:26" ht="3.95" customHeight="1" x14ac:dyDescent="0.2">
      <c r="B59" s="190"/>
      <c r="C59" s="190"/>
      <c r="D59" s="190"/>
      <c r="E59" s="190"/>
      <c r="F59" s="190"/>
      <c r="G59" s="190"/>
      <c r="H59" s="190"/>
      <c r="I59" s="190"/>
      <c r="J59" s="190"/>
      <c r="K59" s="190"/>
      <c r="L59" s="190"/>
      <c r="M59" s="190"/>
      <c r="N59" s="190"/>
      <c r="O59" s="186"/>
      <c r="P59" s="186"/>
      <c r="Q59" s="186"/>
      <c r="R59" s="186"/>
      <c r="S59" s="186"/>
      <c r="T59" s="186"/>
      <c r="U59" s="191"/>
      <c r="V59" s="191"/>
      <c r="W59" s="191"/>
      <c r="X59" s="171"/>
      <c r="Y59" s="160"/>
      <c r="Z59" s="214"/>
    </row>
    <row r="60" spans="2:26" s="175" customFormat="1" ht="15.95" customHeight="1" x14ac:dyDescent="0.2">
      <c r="B60" s="175" t="s">
        <v>388</v>
      </c>
      <c r="U60" s="456">
        <f>U32-U50+SUM(U54:W58)</f>
        <v>0</v>
      </c>
      <c r="V60" s="456"/>
      <c r="W60" s="456"/>
      <c r="X60" s="193"/>
      <c r="Y60" s="162"/>
      <c r="Z60" s="214" t="s">
        <v>333</v>
      </c>
    </row>
    <row r="61" spans="2:26" s="175" customFormat="1" ht="15.95" customHeight="1" x14ac:dyDescent="0.2">
      <c r="U61" s="192"/>
      <c r="V61" s="192"/>
      <c r="W61" s="192"/>
      <c r="X61" s="193"/>
      <c r="Y61" s="162"/>
      <c r="Z61" s="214"/>
    </row>
    <row r="62" spans="2:26" s="175" customFormat="1" ht="15.95" customHeight="1" x14ac:dyDescent="0.2">
      <c r="B62" s="175" t="s">
        <v>389</v>
      </c>
      <c r="U62" s="456">
        <f>U60</f>
        <v>0</v>
      </c>
      <c r="V62" s="456"/>
      <c r="W62" s="456"/>
      <c r="X62" s="193"/>
      <c r="Y62" s="162"/>
      <c r="Z62" s="310" t="s">
        <v>277</v>
      </c>
    </row>
    <row r="63" spans="2:26" s="175" customFormat="1" ht="15.95" customHeight="1" x14ac:dyDescent="0.2">
      <c r="U63" s="392"/>
      <c r="V63" s="392"/>
      <c r="W63" s="392"/>
      <c r="X63" s="193"/>
      <c r="Y63" s="162"/>
      <c r="Z63" s="393"/>
    </row>
    <row r="64" spans="2:26" s="68" customFormat="1" ht="20.100000000000001" customHeight="1" x14ac:dyDescent="0.2">
      <c r="B64" s="457" t="s">
        <v>391</v>
      </c>
      <c r="C64" s="457"/>
      <c r="D64" s="457"/>
      <c r="E64" s="457"/>
      <c r="F64" s="457"/>
      <c r="G64" s="457"/>
      <c r="H64" s="457"/>
      <c r="I64" s="457"/>
      <c r="J64" s="457"/>
      <c r="K64" s="457"/>
      <c r="L64" s="457"/>
      <c r="M64" s="457"/>
      <c r="N64" s="457"/>
      <c r="O64" s="457"/>
      <c r="P64" s="457"/>
      <c r="Q64" s="457"/>
      <c r="R64" s="457"/>
      <c r="S64" s="457"/>
      <c r="T64" s="457"/>
      <c r="U64" s="457"/>
      <c r="V64" s="457"/>
      <c r="W64" s="457"/>
      <c r="X64" s="457"/>
      <c r="Y64" s="150"/>
      <c r="Z64" s="391"/>
    </row>
    <row r="65" spans="2:26" s="175" customFormat="1" ht="15.95" customHeight="1" x14ac:dyDescent="0.2">
      <c r="U65" s="392"/>
      <c r="V65" s="392"/>
      <c r="W65" s="392"/>
      <c r="X65" s="193"/>
      <c r="Y65" s="162"/>
      <c r="Z65" s="393"/>
    </row>
    <row r="66" spans="2:26" s="175" customFormat="1" ht="15.95" customHeight="1" x14ac:dyDescent="0.2">
      <c r="B66" s="395" t="s">
        <v>390</v>
      </c>
      <c r="U66" s="392"/>
      <c r="V66" s="392"/>
      <c r="W66" s="392"/>
      <c r="X66" s="193"/>
      <c r="Y66" s="162"/>
      <c r="Z66" s="451" t="s">
        <v>392</v>
      </c>
    </row>
    <row r="67" spans="2:26" s="175" customFormat="1" ht="15.95" customHeight="1" x14ac:dyDescent="0.2">
      <c r="B67" s="462" t="s">
        <v>169</v>
      </c>
      <c r="C67" s="462"/>
      <c r="D67" s="462"/>
      <c r="E67" s="462"/>
      <c r="F67" s="462"/>
      <c r="G67" s="462"/>
      <c r="H67" s="462"/>
      <c r="I67" s="462"/>
      <c r="J67" s="462"/>
      <c r="K67" s="462"/>
      <c r="L67" s="462"/>
      <c r="M67" s="462"/>
      <c r="N67" s="462"/>
      <c r="U67" s="455">
        <v>0</v>
      </c>
      <c r="V67" s="455"/>
      <c r="W67" s="455"/>
      <c r="X67" s="193" t="s">
        <v>163</v>
      </c>
      <c r="Y67" s="162"/>
      <c r="Z67" s="451"/>
    </row>
    <row r="68" spans="2:26" s="175" customFormat="1" ht="15.95" customHeight="1" x14ac:dyDescent="0.2">
      <c r="B68" s="462" t="s">
        <v>170</v>
      </c>
      <c r="C68" s="462"/>
      <c r="D68" s="462"/>
      <c r="E68" s="462"/>
      <c r="F68" s="462"/>
      <c r="G68" s="462"/>
      <c r="H68" s="462"/>
      <c r="I68" s="462"/>
      <c r="J68" s="462"/>
      <c r="K68" s="462"/>
      <c r="L68" s="462"/>
      <c r="M68" s="462"/>
      <c r="N68" s="462"/>
      <c r="U68" s="455">
        <v>0</v>
      </c>
      <c r="V68" s="455"/>
      <c r="W68" s="455"/>
      <c r="X68" s="193" t="s">
        <v>163</v>
      </c>
      <c r="Y68" s="162"/>
      <c r="Z68" s="451"/>
    </row>
    <row r="69" spans="2:26" s="175" customFormat="1" ht="15.95" customHeight="1" x14ac:dyDescent="0.2">
      <c r="B69" s="462" t="s">
        <v>171</v>
      </c>
      <c r="C69" s="462"/>
      <c r="D69" s="462"/>
      <c r="E69" s="462"/>
      <c r="F69" s="462"/>
      <c r="G69" s="462"/>
      <c r="H69" s="462"/>
      <c r="I69" s="462"/>
      <c r="J69" s="462"/>
      <c r="K69" s="462"/>
      <c r="L69" s="462"/>
      <c r="M69" s="462"/>
      <c r="N69" s="462"/>
      <c r="U69" s="455">
        <v>0</v>
      </c>
      <c r="V69" s="455"/>
      <c r="W69" s="455"/>
      <c r="X69" s="193" t="s">
        <v>163</v>
      </c>
      <c r="Y69" s="162"/>
      <c r="Z69" s="451"/>
    </row>
    <row r="70" spans="2:26" s="175" customFormat="1" ht="15.95" customHeight="1" x14ac:dyDescent="0.2">
      <c r="B70" s="462" t="s">
        <v>172</v>
      </c>
      <c r="C70" s="462"/>
      <c r="D70" s="462"/>
      <c r="E70" s="462"/>
      <c r="F70" s="462"/>
      <c r="G70" s="462"/>
      <c r="H70" s="462"/>
      <c r="I70" s="462"/>
      <c r="J70" s="462"/>
      <c r="K70" s="462"/>
      <c r="L70" s="462"/>
      <c r="M70" s="462"/>
      <c r="N70" s="462"/>
      <c r="U70" s="455">
        <v>0</v>
      </c>
      <c r="V70" s="455"/>
      <c r="W70" s="455"/>
      <c r="X70" s="193" t="s">
        <v>163</v>
      </c>
      <c r="Y70" s="162"/>
      <c r="Z70" s="451"/>
    </row>
    <row r="71" spans="2:26" s="175" customFormat="1" ht="15.95" customHeight="1" x14ac:dyDescent="0.2">
      <c r="B71" s="462" t="s">
        <v>214</v>
      </c>
      <c r="C71" s="462"/>
      <c r="D71" s="462"/>
      <c r="E71" s="462"/>
      <c r="F71" s="462"/>
      <c r="G71" s="462"/>
      <c r="H71" s="462"/>
      <c r="I71" s="462"/>
      <c r="J71" s="462"/>
      <c r="K71" s="462"/>
      <c r="L71" s="462"/>
      <c r="M71" s="462"/>
      <c r="N71" s="462"/>
      <c r="U71" s="463">
        <v>0</v>
      </c>
      <c r="V71" s="463"/>
      <c r="W71" s="463"/>
      <c r="X71" s="396" t="s">
        <v>163</v>
      </c>
      <c r="Y71" s="162"/>
      <c r="Z71" s="451"/>
    </row>
    <row r="72" spans="2:26" s="175" customFormat="1" ht="15.95" customHeight="1" x14ac:dyDescent="0.2">
      <c r="U72" s="392"/>
      <c r="V72" s="392"/>
      <c r="W72" s="392"/>
      <c r="X72" s="193"/>
      <c r="Y72" s="162"/>
      <c r="Z72" s="393"/>
    </row>
    <row r="73" spans="2:26" s="175" customFormat="1" ht="15.95" customHeight="1" x14ac:dyDescent="0.2">
      <c r="B73" s="175" t="s">
        <v>62</v>
      </c>
      <c r="U73" s="456">
        <f>IF(U62-SUM(U67:U71)&lt;0,0,U62-SUM(U67:U71))</f>
        <v>0</v>
      </c>
      <c r="V73" s="456"/>
      <c r="W73" s="456"/>
      <c r="X73" s="193"/>
      <c r="Y73" s="162"/>
      <c r="Z73" s="393"/>
    </row>
    <row r="74" spans="2:26" s="175" customFormat="1" ht="15.95" customHeight="1" x14ac:dyDescent="0.2">
      <c r="U74" s="392"/>
      <c r="V74" s="392"/>
      <c r="W74" s="392"/>
      <c r="X74" s="193"/>
      <c r="Y74" s="162"/>
      <c r="Z74" s="393"/>
    </row>
    <row r="75" spans="2:26" s="68" customFormat="1" ht="20.100000000000001" customHeight="1" x14ac:dyDescent="0.2">
      <c r="B75" s="457" t="s">
        <v>267</v>
      </c>
      <c r="C75" s="457"/>
      <c r="D75" s="457"/>
      <c r="E75" s="457"/>
      <c r="F75" s="457"/>
      <c r="G75" s="457"/>
      <c r="H75" s="457"/>
      <c r="I75" s="457"/>
      <c r="J75" s="457"/>
      <c r="K75" s="457"/>
      <c r="L75" s="457"/>
      <c r="M75" s="457"/>
      <c r="N75" s="457"/>
      <c r="O75" s="457"/>
      <c r="P75" s="457"/>
      <c r="Q75" s="457"/>
      <c r="R75" s="457"/>
      <c r="S75" s="457"/>
      <c r="T75" s="457"/>
      <c r="U75" s="457"/>
      <c r="V75" s="457"/>
      <c r="W75" s="457"/>
      <c r="X75" s="457"/>
      <c r="Y75" s="150"/>
      <c r="Z75" s="310"/>
    </row>
    <row r="76" spans="2:26" s="175" customFormat="1" ht="15.95" customHeight="1" x14ac:dyDescent="0.2">
      <c r="U76" s="192"/>
      <c r="V76" s="192"/>
      <c r="W76" s="192"/>
      <c r="X76" s="193"/>
      <c r="Y76" s="162"/>
      <c r="Z76" s="454" t="s">
        <v>376</v>
      </c>
    </row>
    <row r="77" spans="2:26" ht="15.95" customHeight="1" x14ac:dyDescent="0.2">
      <c r="B77" s="169" t="s">
        <v>60</v>
      </c>
      <c r="I77" s="198"/>
      <c r="J77" s="174" t="str">
        <f>"Person" &amp; IF(I77&lt;&gt;1,"en "," ") &amp; "(inkl. in Jugendhilfe untergebrachte Kinder)"</f>
        <v>Personen (inkl. in Jugendhilfe untergebrachte Kinder)</v>
      </c>
      <c r="N77" s="195"/>
      <c r="Y77" s="160"/>
      <c r="Z77" s="454"/>
    </row>
    <row r="78" spans="2:26" ht="15.95" customHeight="1" x14ac:dyDescent="0.2">
      <c r="B78" s="379" t="str">
        <f>IF(I77&lt;2,"Es muss mindestens 2 eingetragen werden (untergebrachter JM + mind. 1 weiterer Berechtigter).","")</f>
        <v>Es muss mindestens 2 eingetragen werden (untergebrachter JM + mind. 1 weiterer Berechtigter).</v>
      </c>
      <c r="Y78" s="160"/>
      <c r="Z78" s="454"/>
    </row>
    <row r="79" spans="2:26" ht="15.95" customHeight="1" x14ac:dyDescent="0.2">
      <c r="B79" s="174" t="s">
        <v>268</v>
      </c>
      <c r="N79" s="193">
        <f>DTParameter!C18</f>
        <v>1</v>
      </c>
      <c r="O79" s="174" t="str">
        <f>"(" &amp;DTParameter!D18 &amp; ")"</f>
        <v>(0 - 1500 €)</v>
      </c>
      <c r="Y79" s="160"/>
      <c r="Z79" s="454"/>
    </row>
    <row r="80" spans="2:26" ht="15.95" customHeight="1" x14ac:dyDescent="0.2">
      <c r="B80" s="174" t="s">
        <v>232</v>
      </c>
      <c r="N80" s="198"/>
      <c r="O80" s="196" t="s">
        <v>269</v>
      </c>
      <c r="Y80" s="160"/>
      <c r="Z80" s="451" t="s">
        <v>233</v>
      </c>
    </row>
    <row r="81" spans="2:26" ht="8.1" customHeight="1" x14ac:dyDescent="0.2">
      <c r="Y81" s="160"/>
      <c r="Z81" s="451"/>
    </row>
    <row r="82" spans="2:26" ht="15.95" customHeight="1" x14ac:dyDescent="0.2">
      <c r="N82" s="390" t="str">
        <f>IF(OR(N80&gt;MAX(DTParameter!A:A),N80&lt;1),"Ein/-Umgruppierung fehlt/falsch!","")</f>
        <v>Ein/-Umgruppierung fehlt/falsch!</v>
      </c>
      <c r="Y82" s="160"/>
      <c r="Z82" s="214"/>
    </row>
    <row r="83" spans="2:26" ht="15.95" customHeight="1" x14ac:dyDescent="0.2">
      <c r="B83" s="197" t="s">
        <v>356</v>
      </c>
      <c r="C83" s="169"/>
      <c r="D83" s="169"/>
      <c r="E83" s="169"/>
      <c r="F83" s="169"/>
      <c r="G83" s="169"/>
      <c r="H83" s="169"/>
      <c r="I83" s="169"/>
      <c r="J83" s="169"/>
      <c r="K83" s="169"/>
      <c r="L83" s="169"/>
      <c r="M83" s="169"/>
      <c r="N83" s="169"/>
      <c r="O83" s="169"/>
      <c r="P83" s="169"/>
      <c r="Q83" s="169"/>
      <c r="R83" s="169"/>
      <c r="S83" s="169"/>
      <c r="T83" s="169"/>
      <c r="U83" s="169"/>
      <c r="V83" s="169"/>
      <c r="W83" s="169"/>
      <c r="X83" s="171"/>
      <c r="Y83" s="160"/>
      <c r="Z83" s="453" t="s">
        <v>31</v>
      </c>
    </row>
    <row r="84" spans="2:26" ht="15.95" customHeight="1" x14ac:dyDescent="0.2">
      <c r="B84" s="169" t="s">
        <v>357</v>
      </c>
      <c r="C84" s="169"/>
      <c r="D84" s="169"/>
      <c r="E84" s="169"/>
      <c r="F84" s="169"/>
      <c r="G84" s="169"/>
      <c r="H84" s="169"/>
      <c r="I84" s="169"/>
      <c r="J84" s="169"/>
      <c r="K84" s="169"/>
      <c r="L84" s="169"/>
      <c r="M84" s="169"/>
      <c r="N84" s="169"/>
      <c r="O84" s="169"/>
      <c r="P84" s="169"/>
      <c r="Q84" s="169"/>
      <c r="R84" s="169"/>
      <c r="S84" s="169"/>
      <c r="T84" s="169"/>
      <c r="U84" s="169"/>
      <c r="V84" s="169"/>
      <c r="W84" s="169"/>
      <c r="X84" s="171"/>
      <c r="Y84" s="160"/>
      <c r="Z84" s="453"/>
    </row>
    <row r="85" spans="2:26" ht="15.95" customHeight="1" x14ac:dyDescent="0.2">
      <c r="B85" s="197"/>
      <c r="C85" s="169"/>
      <c r="D85" s="169"/>
      <c r="E85" s="169"/>
      <c r="F85" s="169"/>
      <c r="G85" s="169"/>
      <c r="H85" s="169"/>
      <c r="I85" s="169"/>
      <c r="J85" s="169"/>
      <c r="K85" s="169"/>
      <c r="L85" s="169"/>
      <c r="M85" s="169"/>
      <c r="N85" s="169"/>
      <c r="O85" s="169"/>
      <c r="P85" s="169"/>
      <c r="Q85" s="169"/>
      <c r="R85" s="169"/>
      <c r="S85" s="169"/>
      <c r="T85" s="169"/>
      <c r="U85" s="169"/>
      <c r="V85" s="169"/>
      <c r="W85" s="169"/>
      <c r="X85" s="171"/>
      <c r="Y85" s="160"/>
      <c r="Z85" s="453"/>
    </row>
    <row r="86" spans="2:26" s="196" customFormat="1" ht="15.95" customHeight="1" x14ac:dyDescent="0.2">
      <c r="B86" s="495" t="s">
        <v>234</v>
      </c>
      <c r="C86" s="459"/>
      <c r="D86" s="459"/>
      <c r="E86" s="498" t="s">
        <v>235</v>
      </c>
      <c r="F86" s="501"/>
      <c r="G86" s="498" t="s">
        <v>270</v>
      </c>
      <c r="H86" s="499"/>
      <c r="I86" s="458" t="s">
        <v>410</v>
      </c>
      <c r="J86" s="459"/>
      <c r="K86" s="460"/>
      <c r="L86" s="493" t="s">
        <v>103</v>
      </c>
      <c r="M86" s="494"/>
      <c r="N86" s="493" t="s">
        <v>236</v>
      </c>
      <c r="O86" s="494"/>
      <c r="P86" s="471" t="s">
        <v>237</v>
      </c>
      <c r="Q86" s="472"/>
      <c r="R86" s="472"/>
      <c r="S86" s="357"/>
      <c r="T86" s="466"/>
      <c r="U86" s="466"/>
      <c r="V86" s="466"/>
      <c r="W86" s="466"/>
      <c r="X86" s="466"/>
      <c r="Y86" s="160"/>
      <c r="Z86" s="453"/>
    </row>
    <row r="87" spans="2:26" s="196" customFormat="1" ht="15.95" customHeight="1" x14ac:dyDescent="0.2">
      <c r="B87" s="496" t="s">
        <v>238</v>
      </c>
      <c r="C87" s="497"/>
      <c r="D87" s="497"/>
      <c r="E87" s="484"/>
      <c r="F87" s="485"/>
      <c r="G87" s="484" t="str">
        <f>"Gruppe " &amp; N80</f>
        <v xml:space="preserve">Gruppe </v>
      </c>
      <c r="H87" s="500"/>
      <c r="I87" s="537" t="s">
        <v>411</v>
      </c>
      <c r="J87" s="497"/>
      <c r="K87" s="538"/>
      <c r="L87" s="508" t="s">
        <v>253</v>
      </c>
      <c r="M87" s="509"/>
      <c r="N87" s="508" t="s">
        <v>239</v>
      </c>
      <c r="O87" s="509"/>
      <c r="P87" s="513" t="s">
        <v>240</v>
      </c>
      <c r="Q87" s="514"/>
      <c r="R87" s="514"/>
      <c r="S87" s="358"/>
      <c r="T87" s="466"/>
      <c r="U87" s="466"/>
      <c r="V87" s="466"/>
      <c r="W87" s="466"/>
      <c r="X87" s="466"/>
      <c r="Y87" s="160"/>
      <c r="Z87" s="453"/>
    </row>
    <row r="88" spans="2:26" s="196" customFormat="1" ht="15.95" customHeight="1" x14ac:dyDescent="0.2">
      <c r="B88" s="199"/>
      <c r="C88" s="200"/>
      <c r="D88" s="200"/>
      <c r="E88" s="486"/>
      <c r="F88" s="492"/>
      <c r="G88" s="486" t="s">
        <v>271</v>
      </c>
      <c r="H88" s="487"/>
      <c r="I88" s="488"/>
      <c r="J88" s="489"/>
      <c r="K88" s="490"/>
      <c r="L88" s="502" t="s">
        <v>254</v>
      </c>
      <c r="M88" s="503"/>
      <c r="N88" s="502" t="s">
        <v>163</v>
      </c>
      <c r="O88" s="503"/>
      <c r="P88" s="517"/>
      <c r="Q88" s="518"/>
      <c r="R88" s="518"/>
      <c r="S88" s="359"/>
      <c r="T88" s="466"/>
      <c r="U88" s="466"/>
      <c r="V88" s="466"/>
      <c r="W88" s="466"/>
      <c r="X88" s="466"/>
      <c r="Y88" s="160"/>
      <c r="Z88" s="214"/>
    </row>
    <row r="89" spans="2:26" ht="15.95" customHeight="1" x14ac:dyDescent="0.2">
      <c r="B89" s="504"/>
      <c r="C89" s="505"/>
      <c r="D89" s="505"/>
      <c r="E89" s="535"/>
      <c r="F89" s="536"/>
      <c r="G89" s="482" t="str">
        <f>IF(GebDatW1&lt;&gt;0,DTParameter!E24,"")</f>
        <v/>
      </c>
      <c r="H89" s="483"/>
      <c r="I89" s="355" t="str">
        <f>IF(GebDatW1&lt;&gt;"",VLOOKUP(Dropdownfelder!B52,Dropdownfelder!A41:D49,4),"")</f>
        <v/>
      </c>
      <c r="J89" s="506" t="str">
        <f>IF(GebDatW1&lt;&gt;"",VLOOKUP(Dropdownfelder!B52,Dropdownfelder!A41:D49,3),"")</f>
        <v/>
      </c>
      <c r="K89" s="507"/>
      <c r="L89" s="491">
        <v>0</v>
      </c>
      <c r="M89" s="491"/>
      <c r="N89" s="491">
        <v>0</v>
      </c>
      <c r="O89" s="491"/>
      <c r="P89" s="515" t="str">
        <f>IF(AND(GebDatW1&lt;&gt;"",N80&gt;0,U73&gt;0)=TRUE,IF(OR(L89="",L89=0)=TRUE,IF(G89+J89-N89&lt;0,0,G89+J89-N89),IF(L89-N89&lt;0,0,L89-N89)),"")</f>
        <v/>
      </c>
      <c r="Q89" s="516"/>
      <c r="R89" s="516"/>
      <c r="S89" s="356"/>
      <c r="T89" s="467"/>
      <c r="U89" s="466"/>
      <c r="V89" s="466"/>
      <c r="W89" s="466"/>
      <c r="X89" s="466"/>
      <c r="Y89" s="160"/>
      <c r="Z89" s="451" t="s">
        <v>278</v>
      </c>
    </row>
    <row r="90" spans="2:26" ht="15.95" customHeight="1" x14ac:dyDescent="0.2">
      <c r="B90" s="473"/>
      <c r="C90" s="474"/>
      <c r="D90" s="474"/>
      <c r="E90" s="480"/>
      <c r="F90" s="481"/>
      <c r="G90" s="482" t="str">
        <f>IF(GebDatW2&lt;&gt;"",DTParameter!E25,"")</f>
        <v/>
      </c>
      <c r="H90" s="483"/>
      <c r="I90" s="202" t="str">
        <f>IF(GebDatW2&lt;&gt;"",VLOOKUP(Dropdownfelder!B53,Dropdownfelder!A41:D49,4),"")</f>
        <v/>
      </c>
      <c r="J90" s="477" t="str">
        <f>IF(GebDatW2&lt;&gt;"",VLOOKUP(Dropdownfelder!B53,Dropdownfelder!A41:D49,3),"")</f>
        <v/>
      </c>
      <c r="K90" s="478"/>
      <c r="L90" s="479">
        <v>0</v>
      </c>
      <c r="M90" s="479"/>
      <c r="N90" s="479">
        <v>0</v>
      </c>
      <c r="O90" s="479"/>
      <c r="P90" s="469" t="str">
        <f>IF(GebDatW2&lt;&gt;"",IF(OR(L90="",L90=0)=TRUE,IF(G90+J90-N90&lt;0,0,G90+J90-N90),IF(L90-N90&lt;0,0,L90-N90)),"")</f>
        <v/>
      </c>
      <c r="Q90" s="470"/>
      <c r="R90" s="470"/>
      <c r="S90" s="201" t="s">
        <v>162</v>
      </c>
      <c r="T90" s="467"/>
      <c r="U90" s="466"/>
      <c r="V90" s="466"/>
      <c r="W90" s="466"/>
      <c r="X90" s="466"/>
      <c r="Y90" s="160"/>
      <c r="Z90" s="451"/>
    </row>
    <row r="91" spans="2:26" ht="15.95" customHeight="1" x14ac:dyDescent="0.2">
      <c r="B91" s="473"/>
      <c r="C91" s="474"/>
      <c r="D91" s="474"/>
      <c r="E91" s="480"/>
      <c r="F91" s="481"/>
      <c r="G91" s="482" t="str">
        <f>IF(GebDatW3&lt;&gt;"",DTParameter!E26,"")</f>
        <v/>
      </c>
      <c r="H91" s="483"/>
      <c r="I91" s="202" t="str">
        <f>IF(GebDatW3&lt;&gt;"",VLOOKUP(Dropdownfelder!B54,Dropdownfelder!A41:D49,4),"")</f>
        <v/>
      </c>
      <c r="J91" s="477" t="str">
        <f>IF(GebDatW3&lt;&gt;"",VLOOKUP(Dropdownfelder!B54,Dropdownfelder!A41:D49,3),"")</f>
        <v/>
      </c>
      <c r="K91" s="478"/>
      <c r="L91" s="479">
        <v>0</v>
      </c>
      <c r="M91" s="479"/>
      <c r="N91" s="479">
        <v>0</v>
      </c>
      <c r="O91" s="479"/>
      <c r="P91" s="469" t="str">
        <f>IF(GebDatW3&lt;&gt;"",IF(OR(L91="",L91=0)=TRUE,IF(G91+J91-N91&lt;0,0,G91+J91-N91),IF(L91-N91&lt;0,0,L91-N91)),"")</f>
        <v/>
      </c>
      <c r="Q91" s="470"/>
      <c r="R91" s="470"/>
      <c r="S91" s="201" t="s">
        <v>162</v>
      </c>
      <c r="T91" s="467"/>
      <c r="U91" s="466"/>
      <c r="V91" s="466"/>
      <c r="W91" s="466"/>
      <c r="X91" s="466"/>
      <c r="Y91" s="160"/>
      <c r="Z91" s="451"/>
    </row>
    <row r="92" spans="2:26" ht="15.95" customHeight="1" x14ac:dyDescent="0.2">
      <c r="B92" s="473"/>
      <c r="C92" s="474"/>
      <c r="D92" s="474"/>
      <c r="E92" s="480"/>
      <c r="F92" s="481"/>
      <c r="G92" s="482" t="str">
        <f>IF(GebDatW4&lt;&gt;"",DTParameter!E27,"")</f>
        <v/>
      </c>
      <c r="H92" s="483"/>
      <c r="I92" s="202" t="str">
        <f>IF(GebDatW4&lt;&gt;"",VLOOKUP(Dropdownfelder!B55,Dropdownfelder!A41:D49,4),"")</f>
        <v/>
      </c>
      <c r="J92" s="477" t="str">
        <f>IF(GebDatW4&lt;&gt;"",VLOOKUP(Dropdownfelder!B55,Dropdownfelder!A41:D49,3),"")</f>
        <v/>
      </c>
      <c r="K92" s="478"/>
      <c r="L92" s="479">
        <v>0</v>
      </c>
      <c r="M92" s="479"/>
      <c r="N92" s="479">
        <v>0</v>
      </c>
      <c r="O92" s="479"/>
      <c r="P92" s="469" t="str">
        <f>IF(GebDatW4&lt;&gt;"",IF(OR(L92="",L92=0)=TRUE,IF(G92+J92-N92&lt;0,0,G92+J92-N92),IF(L92-N92&lt;0,0,L92-N92)),"")</f>
        <v/>
      </c>
      <c r="Q92" s="470"/>
      <c r="R92" s="470"/>
      <c r="S92" s="201" t="s">
        <v>162</v>
      </c>
      <c r="T92" s="467"/>
      <c r="U92" s="466"/>
      <c r="V92" s="466"/>
      <c r="W92" s="466"/>
      <c r="X92" s="466"/>
      <c r="Y92" s="160"/>
      <c r="Z92" s="451" t="s">
        <v>412</v>
      </c>
    </row>
    <row r="93" spans="2:26" ht="15.95" customHeight="1" x14ac:dyDescent="0.2">
      <c r="B93" s="473"/>
      <c r="C93" s="474"/>
      <c r="D93" s="474"/>
      <c r="E93" s="480"/>
      <c r="F93" s="481"/>
      <c r="G93" s="482" t="str">
        <f>IF(GebDatW5&lt;&gt;"",DTParameter!E28,"")</f>
        <v/>
      </c>
      <c r="H93" s="483"/>
      <c r="I93" s="202" t="str">
        <f>IF(GebDatW5&lt;&gt;"",VLOOKUP(Dropdownfelder!B56,Dropdownfelder!A41:D49,4),"")</f>
        <v/>
      </c>
      <c r="J93" s="477" t="str">
        <f>IF(GebDatW5&lt;&gt;"",VLOOKUP(Dropdownfelder!B56,Dropdownfelder!A41:D49,3),"")</f>
        <v/>
      </c>
      <c r="K93" s="478"/>
      <c r="L93" s="479">
        <v>0</v>
      </c>
      <c r="M93" s="479"/>
      <c r="N93" s="479">
        <v>0</v>
      </c>
      <c r="O93" s="479"/>
      <c r="P93" s="469" t="str">
        <f>IF(GebDatW5&lt;&gt;"",IF(OR(L93="",L93=0)=TRUE,IF(G93+J93-N93&lt;0,0,G93+J93-N93),IF(L93-N93&lt;0,0,L93-N93)),"")</f>
        <v/>
      </c>
      <c r="Q93" s="470"/>
      <c r="R93" s="470"/>
      <c r="S93" s="201" t="s">
        <v>162</v>
      </c>
      <c r="T93" s="467"/>
      <c r="U93" s="466"/>
      <c r="V93" s="466"/>
      <c r="W93" s="466"/>
      <c r="X93" s="466"/>
      <c r="Y93" s="160"/>
      <c r="Z93" s="451"/>
    </row>
    <row r="94" spans="2:26" ht="15.95" customHeight="1" x14ac:dyDescent="0.2">
      <c r="B94" s="473"/>
      <c r="C94" s="474"/>
      <c r="D94" s="474"/>
      <c r="E94" s="480"/>
      <c r="F94" s="481"/>
      <c r="G94" s="482" t="str">
        <f>IF(GebDatW6&lt;&gt;"",DTParameter!E29,"")</f>
        <v/>
      </c>
      <c r="H94" s="483"/>
      <c r="I94" s="202" t="str">
        <f>IF(GebDatW6&lt;&gt;"",VLOOKUP(Dropdownfelder!B57,Dropdownfelder!A41:D49,4),"")</f>
        <v/>
      </c>
      <c r="J94" s="477" t="str">
        <f>IF(GebDatW6&lt;&gt;"",VLOOKUP(Dropdownfelder!B57,Dropdownfelder!A41:D49,3),"")</f>
        <v/>
      </c>
      <c r="K94" s="478"/>
      <c r="L94" s="479">
        <v>0</v>
      </c>
      <c r="M94" s="479"/>
      <c r="N94" s="479">
        <v>0</v>
      </c>
      <c r="O94" s="479"/>
      <c r="P94" s="469" t="str">
        <f>IF(GebDatW6&lt;&gt;"",IF(OR(L94="",L94=0)=TRUE,IF(G94+J94-N94&lt;0,0,G94+J94-N94),IF(L94-N94&lt;0,0,L94-N94)),"")</f>
        <v/>
      </c>
      <c r="Q94" s="470"/>
      <c r="R94" s="470"/>
      <c r="S94" s="201" t="s">
        <v>162</v>
      </c>
      <c r="T94" s="467"/>
      <c r="U94" s="466"/>
      <c r="V94" s="466"/>
      <c r="W94" s="466"/>
      <c r="X94" s="466"/>
      <c r="Y94" s="160"/>
      <c r="Z94" s="451" t="s">
        <v>252</v>
      </c>
    </row>
    <row r="95" spans="2:26" ht="15.95" customHeight="1" x14ac:dyDescent="0.2">
      <c r="B95" s="473"/>
      <c r="C95" s="474"/>
      <c r="D95" s="474"/>
      <c r="E95" s="480"/>
      <c r="F95" s="481"/>
      <c r="G95" s="482" t="str">
        <f>IF(GebDatW7&lt;&gt;"",DTParameter!E30,"")</f>
        <v/>
      </c>
      <c r="H95" s="483"/>
      <c r="I95" s="202" t="str">
        <f>IF(GebDatW7&lt;&gt;"",VLOOKUP(Dropdownfelder!B58,Dropdownfelder!A41:D49,4),"")</f>
        <v/>
      </c>
      <c r="J95" s="477" t="str">
        <f>IF(GebDatW7&lt;&gt;"",VLOOKUP(Dropdownfelder!B58,Dropdownfelder!A41:D49,3),"")</f>
        <v/>
      </c>
      <c r="K95" s="478"/>
      <c r="L95" s="479">
        <v>0</v>
      </c>
      <c r="M95" s="479"/>
      <c r="N95" s="479">
        <v>0</v>
      </c>
      <c r="O95" s="479"/>
      <c r="P95" s="469" t="str">
        <f>IF(GebDatW7&lt;&gt;"",IF(OR(L95="",L95=0)=TRUE,IF(G95+J95-N95&lt;0,0,G95+J95-N95),IF(L95-N95&lt;0,0,L95-N95)),"")</f>
        <v/>
      </c>
      <c r="Q95" s="470"/>
      <c r="R95" s="470"/>
      <c r="S95" s="201" t="s">
        <v>162</v>
      </c>
      <c r="T95" s="467"/>
      <c r="U95" s="466"/>
      <c r="V95" s="466"/>
      <c r="W95" s="466"/>
      <c r="X95" s="466"/>
      <c r="Y95" s="160"/>
      <c r="Z95" s="451"/>
    </row>
    <row r="96" spans="2:26" ht="15.95" customHeight="1" x14ac:dyDescent="0.2">
      <c r="B96" s="473"/>
      <c r="C96" s="474"/>
      <c r="D96" s="474"/>
      <c r="E96" s="480"/>
      <c r="F96" s="481"/>
      <c r="G96" s="482" t="str">
        <f>IF(GebDatW8&lt;&gt;"",DTParameter!E31,"")</f>
        <v/>
      </c>
      <c r="H96" s="483"/>
      <c r="I96" s="202" t="str">
        <f>IF(GebDatW8&lt;&gt;"",VLOOKUP(Dropdownfelder!B59,Dropdownfelder!A41:D49,4),"")</f>
        <v/>
      </c>
      <c r="J96" s="477" t="str">
        <f>IF(GebDatW8&lt;&gt;"",VLOOKUP(Dropdownfelder!B59,Dropdownfelder!A41:D49,3),"")</f>
        <v/>
      </c>
      <c r="K96" s="478"/>
      <c r="L96" s="479">
        <v>0</v>
      </c>
      <c r="M96" s="479"/>
      <c r="N96" s="479">
        <v>0</v>
      </c>
      <c r="O96" s="479"/>
      <c r="P96" s="469" t="str">
        <f>IF(GebDatW8&lt;&gt;"",IF(OR(L96="",L96=0)=TRUE,IF(G96+J96-N96&lt;0,0,G96+J96-N96),IF(L96-N96&lt;0,0,L96-N96)),"")</f>
        <v/>
      </c>
      <c r="Q96" s="470"/>
      <c r="R96" s="470"/>
      <c r="S96" s="201" t="s">
        <v>162</v>
      </c>
      <c r="T96" s="467"/>
      <c r="U96" s="466"/>
      <c r="V96" s="466"/>
      <c r="W96" s="466"/>
      <c r="X96" s="466"/>
      <c r="Y96" s="160"/>
      <c r="Z96" s="451"/>
    </row>
    <row r="97" spans="2:26" ht="15.95" customHeight="1" x14ac:dyDescent="0.2">
      <c r="B97" s="473"/>
      <c r="C97" s="474"/>
      <c r="D97" s="474"/>
      <c r="E97" s="480"/>
      <c r="F97" s="481"/>
      <c r="G97" s="482" t="str">
        <f>IF(GebDatW9&lt;&gt;"",DTParameter!E32,"")</f>
        <v/>
      </c>
      <c r="H97" s="483"/>
      <c r="I97" s="202" t="str">
        <f>IF(GebDatW9&lt;&gt;"",VLOOKUP(Dropdownfelder!B60,Dropdownfelder!A41:D49,4),"")</f>
        <v/>
      </c>
      <c r="J97" s="477" t="str">
        <f>IF(GebDatW9&lt;&gt;"",VLOOKUP(Dropdownfelder!B60,Dropdownfelder!A41:D49,3),"")</f>
        <v/>
      </c>
      <c r="K97" s="478"/>
      <c r="L97" s="479">
        <v>0</v>
      </c>
      <c r="M97" s="479"/>
      <c r="N97" s="479">
        <v>0</v>
      </c>
      <c r="O97" s="479"/>
      <c r="P97" s="469" t="str">
        <f>IF(GebDatW9&lt;&gt;"",IF(OR(L97="",L97=0)=TRUE,IF(G97+J97-N97&lt;0,0,G97+J97-N97),IF(L97-N97&lt;0,0,L97-N97)),"")</f>
        <v/>
      </c>
      <c r="Q97" s="470"/>
      <c r="R97" s="470"/>
      <c r="S97" s="201" t="s">
        <v>162</v>
      </c>
      <c r="T97" s="467"/>
      <c r="U97" s="466"/>
      <c r="V97" s="466"/>
      <c r="W97" s="466"/>
      <c r="X97" s="466"/>
      <c r="Y97" s="160"/>
      <c r="Z97" s="451" t="s">
        <v>279</v>
      </c>
    </row>
    <row r="98" spans="2:26" ht="15.95" customHeight="1" x14ac:dyDescent="0.2">
      <c r="B98" s="473"/>
      <c r="C98" s="474"/>
      <c r="D98" s="474"/>
      <c r="E98" s="480"/>
      <c r="F98" s="481"/>
      <c r="G98" s="475" t="str">
        <f>IF(GebDatW10&lt;&gt;"",DTParameter!E33,"")</f>
        <v/>
      </c>
      <c r="H98" s="476"/>
      <c r="I98" s="202" t="str">
        <f>IF(GebDatW10&lt;&gt;"",VLOOKUP(Dropdownfelder!B61,Dropdownfelder!A41:D49,4),"")</f>
        <v/>
      </c>
      <c r="J98" s="477" t="str">
        <f>IF(GebDatW10&lt;&gt;"",VLOOKUP(Dropdownfelder!B61,Dropdownfelder!A41:D49,3),"")</f>
        <v/>
      </c>
      <c r="K98" s="478"/>
      <c r="L98" s="479">
        <v>0</v>
      </c>
      <c r="M98" s="479"/>
      <c r="N98" s="479">
        <v>0</v>
      </c>
      <c r="O98" s="479"/>
      <c r="P98" s="469" t="str">
        <f>IF(GebDatW10&lt;&gt;"",IF(OR(L98="",L98=0)=TRUE,IF(G98+J98-N98&lt;0,0,G98+J98-N98),IF(L98-N98&lt;0,0,L98-N98)),"")</f>
        <v/>
      </c>
      <c r="Q98" s="470"/>
      <c r="R98" s="470"/>
      <c r="S98" s="201" t="s">
        <v>162</v>
      </c>
      <c r="T98" s="467"/>
      <c r="U98" s="466"/>
      <c r="V98" s="466"/>
      <c r="W98" s="466"/>
      <c r="X98" s="466"/>
      <c r="Y98" s="160"/>
      <c r="Z98" s="451"/>
    </row>
    <row r="99" spans="2:26" ht="3.95" customHeight="1" x14ac:dyDescent="0.2">
      <c r="B99" s="208"/>
      <c r="C99" s="208"/>
      <c r="D99" s="208"/>
      <c r="E99" s="209"/>
      <c r="F99" s="209"/>
      <c r="G99" s="203"/>
      <c r="H99" s="203"/>
      <c r="I99" s="195"/>
      <c r="J99" s="204"/>
      <c r="K99" s="204"/>
      <c r="L99" s="210"/>
      <c r="M99" s="210"/>
      <c r="N99" s="210"/>
      <c r="O99" s="210"/>
      <c r="P99" s="173"/>
      <c r="Q99" s="173"/>
      <c r="R99" s="173"/>
      <c r="S99" s="171"/>
      <c r="T99" s="171"/>
      <c r="U99" s="171"/>
      <c r="V99" s="171"/>
      <c r="W99" s="171"/>
      <c r="X99" s="171"/>
      <c r="Y99" s="160"/>
      <c r="Z99" s="214"/>
    </row>
    <row r="100" spans="2:26" ht="15.95" customHeight="1" x14ac:dyDescent="0.2">
      <c r="B100" s="175" t="s">
        <v>367</v>
      </c>
      <c r="P100" s="456">
        <f>SUM(P89:R98)</f>
        <v>0</v>
      </c>
      <c r="Q100" s="456"/>
      <c r="R100" s="456"/>
      <c r="U100" s="468">
        <f>P100</f>
        <v>0</v>
      </c>
      <c r="V100" s="468"/>
      <c r="W100" s="468"/>
      <c r="X100" s="176" t="s">
        <v>163</v>
      </c>
      <c r="Y100" s="160"/>
      <c r="Z100" s="214"/>
    </row>
    <row r="101" spans="2:26" ht="8.1" customHeight="1" x14ac:dyDescent="0.2">
      <c r="Y101" s="160"/>
      <c r="Z101" s="214"/>
    </row>
    <row r="102" spans="2:26" ht="15.95" customHeight="1" x14ac:dyDescent="0.2">
      <c r="B102" s="174" t="s">
        <v>358</v>
      </c>
      <c r="U102" s="464">
        <f>DTParameter!D37</f>
        <v>1080</v>
      </c>
      <c r="V102" s="465"/>
      <c r="W102" s="465"/>
      <c r="X102" s="189" t="s">
        <v>163</v>
      </c>
      <c r="Y102" s="160"/>
      <c r="Z102" s="452"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103" spans="2:26" ht="3.95" customHeight="1" x14ac:dyDescent="0.2">
      <c r="U103" s="191"/>
      <c r="V103" s="191"/>
      <c r="W103" s="191"/>
      <c r="X103" s="171"/>
      <c r="Y103" s="160"/>
      <c r="Z103" s="452"/>
    </row>
    <row r="104" spans="2:26" ht="15.95" customHeight="1" x14ac:dyDescent="0.2">
      <c r="B104" s="174" t="s">
        <v>359</v>
      </c>
      <c r="U104" s="456">
        <f>IF(U73-U100-U102&lt;0,0,U73-U100-U102)</f>
        <v>0</v>
      </c>
      <c r="V104" s="456"/>
      <c r="W104" s="456"/>
      <c r="X104" s="171"/>
      <c r="Y104" s="160"/>
      <c r="Z104" s="452"/>
    </row>
    <row r="105" spans="2:26" ht="15.95" customHeight="1" x14ac:dyDescent="0.2">
      <c r="U105" s="192"/>
      <c r="V105" s="192"/>
      <c r="W105" s="192"/>
      <c r="X105" s="171"/>
      <c r="Y105" s="160"/>
      <c r="Z105" s="452"/>
    </row>
    <row r="106" spans="2:26" ht="15.95" customHeight="1" x14ac:dyDescent="0.2">
      <c r="U106" s="191"/>
      <c r="V106" s="191"/>
      <c r="W106" s="191"/>
      <c r="X106" s="171"/>
      <c r="Y106" s="160"/>
      <c r="Z106" s="452"/>
    </row>
    <row r="107" spans="2:26" ht="15.95" customHeight="1" x14ac:dyDescent="0.2">
      <c r="B107" s="197" t="s">
        <v>360</v>
      </c>
      <c r="U107" s="191"/>
      <c r="V107" s="191"/>
      <c r="W107" s="191"/>
      <c r="X107" s="171"/>
      <c r="Y107" s="160"/>
      <c r="Z107" s="215"/>
    </row>
    <row r="108" spans="2:26" ht="15.95" customHeight="1" x14ac:dyDescent="0.2">
      <c r="B108" s="169" t="s">
        <v>361</v>
      </c>
      <c r="U108" s="191"/>
      <c r="V108" s="191"/>
      <c r="W108" s="191"/>
      <c r="X108" s="171"/>
      <c r="Y108" s="160"/>
      <c r="Z108" s="215"/>
    </row>
    <row r="109" spans="2:26" ht="15.95" customHeight="1" x14ac:dyDescent="0.2">
      <c r="B109" s="169"/>
      <c r="U109" s="191"/>
      <c r="V109" s="191"/>
      <c r="W109" s="191"/>
      <c r="X109" s="171"/>
      <c r="Y109" s="160"/>
      <c r="Z109" s="215"/>
    </row>
    <row r="110" spans="2:26" s="362" customFormat="1" ht="12.75" customHeight="1" x14ac:dyDescent="0.2">
      <c r="B110" s="533" t="s">
        <v>362</v>
      </c>
      <c r="C110" s="533"/>
      <c r="D110" s="533"/>
      <c r="E110" s="533"/>
      <c r="F110" s="533"/>
      <c r="G110" s="539" t="s">
        <v>363</v>
      </c>
      <c r="H110" s="540"/>
      <c r="I110" s="540"/>
      <c r="J110" s="540"/>
      <c r="K110" s="541"/>
      <c r="L110" s="534" t="s">
        <v>364</v>
      </c>
      <c r="M110" s="534"/>
      <c r="N110" s="534" t="s">
        <v>365</v>
      </c>
      <c r="O110" s="534"/>
      <c r="P110" s="567" t="s">
        <v>366</v>
      </c>
      <c r="Q110" s="568"/>
      <c r="R110" s="568"/>
      <c r="S110" s="363"/>
      <c r="X110" s="360"/>
      <c r="Y110" s="361"/>
      <c r="Z110" s="452" t="s">
        <v>35</v>
      </c>
    </row>
    <row r="111" spans="2:26" s="362" customFormat="1" ht="12.75" x14ac:dyDescent="0.2">
      <c r="B111" s="533"/>
      <c r="C111" s="533"/>
      <c r="D111" s="533"/>
      <c r="E111" s="533"/>
      <c r="F111" s="533"/>
      <c r="G111" s="542"/>
      <c r="H111" s="543"/>
      <c r="I111" s="543"/>
      <c r="J111" s="543"/>
      <c r="K111" s="544"/>
      <c r="L111" s="534"/>
      <c r="M111" s="534"/>
      <c r="N111" s="534"/>
      <c r="O111" s="534"/>
      <c r="P111" s="569"/>
      <c r="Q111" s="570"/>
      <c r="R111" s="570"/>
      <c r="S111" s="364"/>
      <c r="X111" s="360"/>
      <c r="Y111" s="361"/>
      <c r="Z111" s="452"/>
    </row>
    <row r="112" spans="2:26" s="362" customFormat="1" ht="12.75" x14ac:dyDescent="0.2">
      <c r="B112" s="533"/>
      <c r="C112" s="533"/>
      <c r="D112" s="533"/>
      <c r="E112" s="533"/>
      <c r="F112" s="533"/>
      <c r="G112" s="545"/>
      <c r="H112" s="546"/>
      <c r="I112" s="546"/>
      <c r="J112" s="546"/>
      <c r="K112" s="547"/>
      <c r="L112" s="534"/>
      <c r="M112" s="534"/>
      <c r="N112" s="534"/>
      <c r="O112" s="534"/>
      <c r="P112" s="571"/>
      <c r="Q112" s="572"/>
      <c r="R112" s="572"/>
      <c r="S112" s="365"/>
      <c r="X112" s="360"/>
      <c r="Y112" s="361"/>
      <c r="Z112" s="452"/>
    </row>
    <row r="113" spans="2:26" ht="15.95" customHeight="1" x14ac:dyDescent="0.2">
      <c r="B113" s="524"/>
      <c r="C113" s="525"/>
      <c r="D113" s="525"/>
      <c r="E113" s="525"/>
      <c r="F113" s="526"/>
      <c r="G113" s="524"/>
      <c r="H113" s="525"/>
      <c r="I113" s="525"/>
      <c r="J113" s="525"/>
      <c r="K113" s="526"/>
      <c r="L113" s="527">
        <v>0</v>
      </c>
      <c r="M113" s="528"/>
      <c r="N113" s="527">
        <v>0</v>
      </c>
      <c r="O113" s="528"/>
      <c r="P113" s="531">
        <f>IF(B113&lt;&gt;"",IF(L113-N113&lt;0,0,L113-N113),0)</f>
        <v>0</v>
      </c>
      <c r="Q113" s="532"/>
      <c r="R113" s="532"/>
      <c r="S113" s="366"/>
      <c r="T113" s="529"/>
      <c r="U113" s="530"/>
      <c r="V113" s="530"/>
      <c r="W113" s="530"/>
      <c r="X113" s="171"/>
      <c r="Y113" s="160"/>
      <c r="Z113" s="215"/>
    </row>
    <row r="114" spans="2:26" ht="15.95" customHeight="1" x14ac:dyDescent="0.2">
      <c r="B114" s="524"/>
      <c r="C114" s="525"/>
      <c r="D114" s="525"/>
      <c r="E114" s="525"/>
      <c r="F114" s="526"/>
      <c r="G114" s="524"/>
      <c r="H114" s="525"/>
      <c r="I114" s="525"/>
      <c r="J114" s="525"/>
      <c r="K114" s="526"/>
      <c r="L114" s="527">
        <v>0</v>
      </c>
      <c r="M114" s="528"/>
      <c r="N114" s="527">
        <v>0</v>
      </c>
      <c r="O114" s="528"/>
      <c r="P114" s="531">
        <f>IF(B114&lt;&gt;"",IF(L114-N114&lt;0,0,L114-N114),0)</f>
        <v>0</v>
      </c>
      <c r="Q114" s="532"/>
      <c r="R114" s="532"/>
      <c r="S114" s="366" t="s">
        <v>162</v>
      </c>
      <c r="T114" s="529"/>
      <c r="U114" s="530"/>
      <c r="V114" s="530"/>
      <c r="W114" s="530"/>
      <c r="X114" s="171"/>
      <c r="Y114" s="160"/>
      <c r="Z114" s="215"/>
    </row>
    <row r="115" spans="2:26" ht="15.95" customHeight="1" x14ac:dyDescent="0.2">
      <c r="B115" s="524"/>
      <c r="C115" s="525"/>
      <c r="D115" s="525"/>
      <c r="E115" s="525"/>
      <c r="F115" s="526"/>
      <c r="G115" s="524"/>
      <c r="H115" s="525"/>
      <c r="I115" s="525"/>
      <c r="J115" s="525"/>
      <c r="K115" s="526"/>
      <c r="L115" s="527">
        <v>0</v>
      </c>
      <c r="M115" s="528"/>
      <c r="N115" s="527">
        <v>0</v>
      </c>
      <c r="O115" s="528"/>
      <c r="P115" s="531">
        <f>IF(B115&lt;&gt;"",IF(L115-N115&lt;0,0,L115-N115),0)</f>
        <v>0</v>
      </c>
      <c r="Q115" s="532"/>
      <c r="R115" s="532"/>
      <c r="S115" s="366" t="s">
        <v>162</v>
      </c>
      <c r="T115" s="529"/>
      <c r="U115" s="530"/>
      <c r="V115" s="530"/>
      <c r="W115" s="530"/>
      <c r="X115" s="171"/>
      <c r="Y115" s="160"/>
      <c r="Z115" s="215"/>
    </row>
    <row r="116" spans="2:26" ht="3.95" customHeight="1" x14ac:dyDescent="0.2">
      <c r="B116" s="208"/>
      <c r="C116" s="208"/>
      <c r="D116" s="208"/>
      <c r="E116" s="209"/>
      <c r="F116" s="209"/>
      <c r="G116" s="203"/>
      <c r="H116" s="203"/>
      <c r="I116" s="195"/>
      <c r="J116" s="204"/>
      <c r="K116" s="204"/>
      <c r="L116" s="210"/>
      <c r="M116" s="210"/>
      <c r="N116" s="210"/>
      <c r="O116" s="210"/>
      <c r="P116" s="173"/>
      <c r="Q116" s="173"/>
      <c r="R116" s="173"/>
      <c r="S116" s="171"/>
      <c r="T116" s="171"/>
      <c r="U116" s="171"/>
      <c r="V116" s="171"/>
      <c r="W116" s="171"/>
      <c r="X116" s="171"/>
      <c r="Y116" s="160"/>
      <c r="Z116" s="214"/>
    </row>
    <row r="117" spans="2:26" ht="15.95" customHeight="1" x14ac:dyDescent="0.2">
      <c r="B117" s="175" t="s">
        <v>368</v>
      </c>
      <c r="P117" s="456">
        <f>SUM(P113:R115)</f>
        <v>0</v>
      </c>
      <c r="Q117" s="456"/>
      <c r="R117" s="456"/>
      <c r="U117" s="468">
        <f>P117</f>
        <v>0</v>
      </c>
      <c r="V117" s="468"/>
      <c r="W117" s="468"/>
      <c r="X117" s="171" t="s">
        <v>163</v>
      </c>
      <c r="Y117" s="160"/>
      <c r="Z117" s="215"/>
    </row>
    <row r="118" spans="2:26" ht="8.1" customHeight="1" x14ac:dyDescent="0.2">
      <c r="Y118" s="160"/>
      <c r="Z118" s="214"/>
    </row>
    <row r="119" spans="2:26" ht="15.95" customHeight="1" x14ac:dyDescent="0.2">
      <c r="B119" s="174" t="s">
        <v>23</v>
      </c>
      <c r="L119" s="553" t="str">
        <f>IF(P117&gt;0,"(" &amp; DTParameter!D40 &amp; " € ./. " &amp; ROUND(U102,2) &amp; " €)","")</f>
        <v/>
      </c>
      <c r="M119" s="553"/>
      <c r="N119" s="553"/>
      <c r="O119" s="553"/>
      <c r="U119" s="519">
        <f>IF(P117&gt;0,IF(DTParameter!D40-Schmälerungsverbot!U102&lt;0,0,DTParameter!D40-Schmälerungsverbot!U102),0)</f>
        <v>0</v>
      </c>
      <c r="V119" s="519"/>
      <c r="W119" s="519"/>
      <c r="X119" s="189" t="s">
        <v>163</v>
      </c>
      <c r="Y119" s="160"/>
      <c r="Z119" s="451" t="s">
        <v>32</v>
      </c>
    </row>
    <row r="120" spans="2:26" ht="3.95" customHeight="1" x14ac:dyDescent="0.2">
      <c r="L120" s="368"/>
      <c r="M120" s="368"/>
      <c r="N120" s="368"/>
      <c r="O120" s="368"/>
      <c r="U120" s="173"/>
      <c r="V120" s="173"/>
      <c r="W120" s="173"/>
      <c r="X120" s="171"/>
      <c r="Y120" s="160"/>
      <c r="Z120" s="451"/>
    </row>
    <row r="121" spans="2:26" ht="15.95" customHeight="1" x14ac:dyDescent="0.2">
      <c r="B121" s="174" t="s">
        <v>359</v>
      </c>
      <c r="L121" s="368"/>
      <c r="M121" s="368"/>
      <c r="N121" s="368"/>
      <c r="O121" s="368"/>
      <c r="U121" s="456">
        <f>IF(U104-U117-U119&lt;0,0,U104-U117-U119)</f>
        <v>0</v>
      </c>
      <c r="V121" s="456"/>
      <c r="W121" s="456"/>
      <c r="X121" s="171"/>
      <c r="Y121" s="160"/>
      <c r="Z121" s="451"/>
    </row>
    <row r="122" spans="2:26" ht="15.95" customHeight="1" x14ac:dyDescent="0.2">
      <c r="L122" s="368"/>
      <c r="M122" s="368"/>
      <c r="N122" s="368"/>
      <c r="O122" s="368"/>
      <c r="U122" s="173"/>
      <c r="V122" s="173"/>
      <c r="W122" s="173"/>
      <c r="X122" s="171"/>
      <c r="Y122" s="160"/>
      <c r="Z122" s="215"/>
    </row>
    <row r="123" spans="2:26" ht="15.95" customHeight="1" x14ac:dyDescent="0.2">
      <c r="L123" s="368"/>
      <c r="M123" s="368"/>
      <c r="N123" s="368"/>
      <c r="O123" s="368"/>
      <c r="U123" s="173"/>
      <c r="V123" s="173"/>
      <c r="W123" s="173"/>
      <c r="X123" s="171"/>
      <c r="Y123" s="160"/>
      <c r="Z123" s="215"/>
    </row>
    <row r="124" spans="2:26" ht="15.95" customHeight="1" x14ac:dyDescent="0.2">
      <c r="B124" s="175" t="s">
        <v>377</v>
      </c>
      <c r="L124" s="368"/>
      <c r="M124" s="368"/>
      <c r="N124" s="368"/>
      <c r="O124" s="368"/>
      <c r="U124" s="456">
        <f>U121</f>
        <v>0</v>
      </c>
      <c r="V124" s="456"/>
      <c r="W124" s="456"/>
      <c r="X124" s="171"/>
      <c r="Y124" s="160"/>
      <c r="Z124" s="380" t="s">
        <v>45</v>
      </c>
    </row>
    <row r="125" spans="2:26" ht="15.95" customHeight="1" x14ac:dyDescent="0.2">
      <c r="L125" s="368"/>
      <c r="M125" s="368"/>
      <c r="N125" s="368"/>
      <c r="O125" s="368"/>
      <c r="U125" s="173"/>
      <c r="V125" s="173"/>
      <c r="W125" s="173"/>
      <c r="X125" s="171"/>
      <c r="Y125" s="160"/>
      <c r="Z125" s="215"/>
    </row>
    <row r="126" spans="2:26" ht="15.95" customHeight="1" x14ac:dyDescent="0.2">
      <c r="B126" s="197" t="s">
        <v>5</v>
      </c>
      <c r="L126" s="368"/>
      <c r="M126" s="368"/>
      <c r="N126" s="368"/>
      <c r="O126" s="368"/>
      <c r="U126" s="173"/>
      <c r="V126" s="173"/>
      <c r="W126" s="173"/>
      <c r="X126" s="171"/>
      <c r="Y126" s="160"/>
      <c r="Z126" s="215"/>
    </row>
    <row r="127" spans="2:26" ht="15.95" customHeight="1" x14ac:dyDescent="0.2">
      <c r="B127" s="169" t="s">
        <v>6</v>
      </c>
      <c r="L127" s="368"/>
      <c r="M127" s="368"/>
      <c r="N127" s="368"/>
      <c r="O127" s="368"/>
      <c r="U127" s="173"/>
      <c r="V127" s="173"/>
      <c r="W127" s="173"/>
      <c r="X127" s="171"/>
      <c r="Y127" s="160"/>
      <c r="Z127" s="215"/>
    </row>
    <row r="128" spans="2:26" ht="15.95" customHeight="1" x14ac:dyDescent="0.2">
      <c r="L128" s="368"/>
      <c r="M128" s="368"/>
      <c r="N128" s="368"/>
      <c r="O128" s="368"/>
      <c r="U128" s="173"/>
      <c r="V128" s="173"/>
      <c r="W128" s="173"/>
      <c r="X128" s="171"/>
      <c r="Y128" s="160"/>
      <c r="Z128" s="215"/>
    </row>
    <row r="129" spans="2:26" ht="12.75" customHeight="1" x14ac:dyDescent="0.2">
      <c r="B129" s="557" t="s">
        <v>362</v>
      </c>
      <c r="C129" s="558"/>
      <c r="D129" s="558"/>
      <c r="E129" s="559"/>
      <c r="F129" s="566" t="s">
        <v>363</v>
      </c>
      <c r="G129" s="566"/>
      <c r="H129" s="566"/>
      <c r="I129" s="566"/>
      <c r="J129" s="566"/>
      <c r="K129" s="566"/>
      <c r="L129" s="534" t="s">
        <v>364</v>
      </c>
      <c r="M129" s="534"/>
      <c r="N129" s="534" t="s">
        <v>365</v>
      </c>
      <c r="O129" s="534"/>
      <c r="P129" s="567" t="s">
        <v>366</v>
      </c>
      <c r="Q129" s="568"/>
      <c r="R129" s="568"/>
      <c r="S129" s="363"/>
      <c r="T129" s="362"/>
      <c r="U129" s="362"/>
      <c r="V129" s="362"/>
      <c r="W129" s="362"/>
      <c r="X129" s="360"/>
      <c r="Y129" s="160"/>
      <c r="Z129" s="451" t="s">
        <v>36</v>
      </c>
    </row>
    <row r="130" spans="2:26" ht="12.75" x14ac:dyDescent="0.2">
      <c r="B130" s="560"/>
      <c r="C130" s="561"/>
      <c r="D130" s="561"/>
      <c r="E130" s="562"/>
      <c r="F130" s="566"/>
      <c r="G130" s="566"/>
      <c r="H130" s="566"/>
      <c r="I130" s="566"/>
      <c r="J130" s="566"/>
      <c r="K130" s="566"/>
      <c r="L130" s="534"/>
      <c r="M130" s="534"/>
      <c r="N130" s="534"/>
      <c r="O130" s="534"/>
      <c r="P130" s="569"/>
      <c r="Q130" s="570"/>
      <c r="R130" s="570"/>
      <c r="S130" s="364"/>
      <c r="T130" s="362"/>
      <c r="U130" s="362"/>
      <c r="V130" s="362"/>
      <c r="W130" s="362"/>
      <c r="X130" s="360"/>
      <c r="Y130" s="160"/>
      <c r="Z130" s="451"/>
    </row>
    <row r="131" spans="2:26" ht="12.75" x14ac:dyDescent="0.2">
      <c r="B131" s="563"/>
      <c r="C131" s="564"/>
      <c r="D131" s="564"/>
      <c r="E131" s="565"/>
      <c r="F131" s="566"/>
      <c r="G131" s="566"/>
      <c r="H131" s="566"/>
      <c r="I131" s="566"/>
      <c r="J131" s="566"/>
      <c r="K131" s="566"/>
      <c r="L131" s="534"/>
      <c r="M131" s="534"/>
      <c r="N131" s="534"/>
      <c r="O131" s="534"/>
      <c r="P131" s="571"/>
      <c r="Q131" s="572"/>
      <c r="R131" s="572"/>
      <c r="S131" s="365"/>
      <c r="T131" s="362"/>
      <c r="U131" s="362"/>
      <c r="V131" s="362"/>
      <c r="W131" s="362"/>
      <c r="X131" s="360"/>
      <c r="Y131" s="160"/>
      <c r="Z131" s="451"/>
    </row>
    <row r="132" spans="2:26" ht="15.95" customHeight="1" x14ac:dyDescent="0.2">
      <c r="B132" s="524"/>
      <c r="C132" s="525"/>
      <c r="D132" s="525"/>
      <c r="E132" s="525"/>
      <c r="F132" s="554" t="str">
        <f>IF(B132&lt;&gt;"",VLOOKUP(Dropdownfelder!A69,Dropdownfelder!A70:B73,2,FALSE),"")</f>
        <v/>
      </c>
      <c r="G132" s="555"/>
      <c r="H132" s="555"/>
      <c r="I132" s="555"/>
      <c r="J132" s="555"/>
      <c r="K132" s="556"/>
      <c r="L132" s="527">
        <v>0</v>
      </c>
      <c r="M132" s="528"/>
      <c r="N132" s="527">
        <v>0</v>
      </c>
      <c r="O132" s="528"/>
      <c r="P132" s="531">
        <f>IF(B132&lt;&gt;"",IF(L132-N132&lt;0,0,L132-N132),0)</f>
        <v>0</v>
      </c>
      <c r="Q132" s="532"/>
      <c r="R132" s="532"/>
      <c r="S132" s="366"/>
      <c r="T132" s="529"/>
      <c r="U132" s="530"/>
      <c r="V132" s="530"/>
      <c r="W132" s="530"/>
      <c r="X132" s="171"/>
      <c r="Y132" s="160"/>
      <c r="Z132" s="451"/>
    </row>
    <row r="133" spans="2:26" ht="15.95" customHeight="1" x14ac:dyDescent="0.2">
      <c r="B133" s="524"/>
      <c r="C133" s="525"/>
      <c r="D133" s="525"/>
      <c r="E133" s="525"/>
      <c r="F133" s="554" t="str">
        <f>IF(B133&lt;&gt;"",VLOOKUP(Dropdownfelder!A75,Dropdownfelder!A76:B79,2,FALSE),"")</f>
        <v/>
      </c>
      <c r="G133" s="555"/>
      <c r="H133" s="555"/>
      <c r="I133" s="555"/>
      <c r="J133" s="555"/>
      <c r="K133" s="556"/>
      <c r="L133" s="527">
        <v>0</v>
      </c>
      <c r="M133" s="528"/>
      <c r="N133" s="527">
        <v>0</v>
      </c>
      <c r="O133" s="528"/>
      <c r="P133" s="531">
        <f>IF(B133&lt;&gt;"",IF(L133-N133&lt;0,0,L133-N133),0)</f>
        <v>0</v>
      </c>
      <c r="Q133" s="532"/>
      <c r="R133" s="532"/>
      <c r="S133" s="366" t="s">
        <v>162</v>
      </c>
      <c r="T133" s="529"/>
      <c r="U133" s="530"/>
      <c r="V133" s="530"/>
      <c r="W133" s="530"/>
      <c r="X133" s="171"/>
      <c r="Y133" s="160"/>
      <c r="Z133" s="451"/>
    </row>
    <row r="134" spans="2:26" ht="15.95" customHeight="1" x14ac:dyDescent="0.2">
      <c r="B134" s="524"/>
      <c r="C134" s="525"/>
      <c r="D134" s="525"/>
      <c r="E134" s="525"/>
      <c r="F134" s="554" t="str">
        <f>IF(B134&lt;&gt;"",VLOOKUP(Dropdownfelder!A81,Dropdownfelder!A82:B85,2,FALSE),"")</f>
        <v/>
      </c>
      <c r="G134" s="555"/>
      <c r="H134" s="555"/>
      <c r="I134" s="555"/>
      <c r="J134" s="555"/>
      <c r="K134" s="556"/>
      <c r="L134" s="527">
        <v>0</v>
      </c>
      <c r="M134" s="528"/>
      <c r="N134" s="527">
        <v>0</v>
      </c>
      <c r="O134" s="528"/>
      <c r="P134" s="531">
        <f>IF(B134&lt;&gt;"",IF(L134-N134&lt;0,0,L134-N134),0)</f>
        <v>0</v>
      </c>
      <c r="Q134" s="532"/>
      <c r="R134" s="532"/>
      <c r="S134" s="366" t="s">
        <v>162</v>
      </c>
      <c r="T134" s="529"/>
      <c r="U134" s="530"/>
      <c r="V134" s="530"/>
      <c r="W134" s="530"/>
      <c r="X134" s="171"/>
      <c r="Y134" s="160"/>
      <c r="Z134" s="451"/>
    </row>
    <row r="135" spans="2:26" ht="3.95" customHeight="1" x14ac:dyDescent="0.2">
      <c r="B135" s="208"/>
      <c r="C135" s="208"/>
      <c r="D135" s="208"/>
      <c r="E135" s="209"/>
      <c r="F135" s="209"/>
      <c r="G135" s="203"/>
      <c r="H135" s="203"/>
      <c r="I135" s="195"/>
      <c r="J135" s="204"/>
      <c r="K135" s="204"/>
      <c r="L135" s="210"/>
      <c r="M135" s="210"/>
      <c r="N135" s="210"/>
      <c r="O135" s="210"/>
      <c r="P135" s="173"/>
      <c r="Q135" s="173"/>
      <c r="R135" s="173"/>
      <c r="S135" s="171"/>
      <c r="T135" s="171"/>
      <c r="U135" s="171"/>
      <c r="V135" s="171"/>
      <c r="W135" s="171"/>
      <c r="X135" s="171"/>
      <c r="Y135" s="160"/>
      <c r="Z135" s="215"/>
    </row>
    <row r="136" spans="2:26" ht="15.95" customHeight="1" x14ac:dyDescent="0.2">
      <c r="B136" s="175" t="s">
        <v>25</v>
      </c>
      <c r="P136" s="456">
        <f>SUM(P132:R134)</f>
        <v>0</v>
      </c>
      <c r="Q136" s="456"/>
      <c r="R136" s="456"/>
      <c r="U136" s="468">
        <f>P136</f>
        <v>0</v>
      </c>
      <c r="V136" s="468"/>
      <c r="W136" s="468"/>
      <c r="X136" s="171" t="s">
        <v>163</v>
      </c>
      <c r="Y136" s="160"/>
      <c r="Z136" s="215"/>
    </row>
    <row r="137" spans="2:26" ht="8.1" customHeight="1" x14ac:dyDescent="0.2">
      <c r="Y137" s="160"/>
      <c r="Z137" s="215"/>
    </row>
    <row r="138" spans="2:26" ht="15.95" customHeight="1" x14ac:dyDescent="0.2">
      <c r="B138" s="174" t="s">
        <v>26</v>
      </c>
      <c r="L138" s="553" t="str">
        <f>"("&amp;DTParameter!D41&amp;" € ./. " &amp; ROUND(U102+U119,2)&amp;" €)"</f>
        <v>(1200 € ./. 1080 €)</v>
      </c>
      <c r="M138" s="553"/>
      <c r="N138" s="553"/>
      <c r="O138" s="553"/>
      <c r="U138" s="519">
        <f>IF(P136&gt;0,IF(U119=0,DTParameter!D41-Schmälerungsverbot!U102,0),0)</f>
        <v>0</v>
      </c>
      <c r="V138" s="519"/>
      <c r="W138" s="519"/>
      <c r="X138" s="189" t="s">
        <v>163</v>
      </c>
      <c r="Y138" s="160"/>
      <c r="Z138" s="451" t="s">
        <v>33</v>
      </c>
    </row>
    <row r="139" spans="2:26" ht="3.95" customHeight="1" x14ac:dyDescent="0.2">
      <c r="L139" s="368"/>
      <c r="M139" s="368"/>
      <c r="N139" s="368"/>
      <c r="O139" s="368"/>
      <c r="U139" s="173"/>
      <c r="V139" s="173"/>
      <c r="W139" s="173"/>
      <c r="X139" s="171"/>
      <c r="Y139" s="160"/>
      <c r="Z139" s="451"/>
    </row>
    <row r="140" spans="2:26" ht="15.95" customHeight="1" x14ac:dyDescent="0.2">
      <c r="B140" s="174" t="s">
        <v>359</v>
      </c>
      <c r="L140" s="368"/>
      <c r="M140" s="368"/>
      <c r="N140" s="368"/>
      <c r="O140" s="368"/>
      <c r="U140" s="456">
        <f>IF(U121-U136-U138&lt;0,0,U121-U136-U138)</f>
        <v>0</v>
      </c>
      <c r="V140" s="456"/>
      <c r="W140" s="456"/>
      <c r="X140" s="171"/>
      <c r="Y140" s="160"/>
      <c r="Z140" s="451"/>
    </row>
    <row r="141" spans="2:26" ht="15.95" customHeight="1" x14ac:dyDescent="0.2">
      <c r="L141" s="368"/>
      <c r="M141" s="368"/>
      <c r="N141" s="368"/>
      <c r="O141" s="368"/>
      <c r="U141" s="192"/>
      <c r="V141" s="192"/>
      <c r="W141" s="192"/>
      <c r="X141" s="171"/>
      <c r="Y141" s="160"/>
      <c r="Z141" s="215"/>
    </row>
    <row r="142" spans="2:26" ht="15.95" customHeight="1" x14ac:dyDescent="0.2">
      <c r="L142" s="368"/>
      <c r="M142" s="368"/>
      <c r="N142" s="368"/>
      <c r="O142" s="368"/>
      <c r="U142" s="192"/>
      <c r="V142" s="192"/>
      <c r="W142" s="192"/>
      <c r="X142" s="171"/>
      <c r="Y142" s="160"/>
      <c r="Z142" s="215"/>
    </row>
    <row r="143" spans="2:26" ht="15.95" customHeight="1" x14ac:dyDescent="0.2">
      <c r="B143" s="197" t="s">
        <v>13</v>
      </c>
      <c r="L143" s="368"/>
      <c r="M143" s="368"/>
      <c r="N143" s="368"/>
      <c r="O143" s="368"/>
      <c r="U143" s="192"/>
      <c r="V143" s="192"/>
      <c r="W143" s="192"/>
      <c r="X143" s="171"/>
      <c r="Y143" s="160"/>
      <c r="Z143" s="453" t="s">
        <v>37</v>
      </c>
    </row>
    <row r="144" spans="2:26" ht="15.95" customHeight="1" x14ac:dyDescent="0.2">
      <c r="B144" s="169" t="s">
        <v>22</v>
      </c>
      <c r="L144" s="368"/>
      <c r="M144" s="368"/>
      <c r="N144" s="368"/>
      <c r="O144" s="368"/>
      <c r="U144" s="192"/>
      <c r="V144" s="192"/>
      <c r="W144" s="192"/>
      <c r="X144" s="171"/>
      <c r="Y144" s="160"/>
      <c r="Z144" s="453"/>
    </row>
    <row r="145" spans="2:26" ht="15.95" customHeight="1" x14ac:dyDescent="0.2">
      <c r="L145" s="368"/>
      <c r="M145" s="368"/>
      <c r="N145" s="368"/>
      <c r="O145" s="368"/>
      <c r="U145" s="192"/>
      <c r="V145" s="192"/>
      <c r="W145" s="192"/>
      <c r="X145" s="171"/>
      <c r="Y145" s="160"/>
      <c r="Z145" s="453"/>
    </row>
    <row r="146" spans="2:26" ht="12.75" customHeight="1" x14ac:dyDescent="0.2">
      <c r="B146" s="495" t="s">
        <v>234</v>
      </c>
      <c r="C146" s="459"/>
      <c r="D146" s="459"/>
      <c r="E146" s="498" t="s">
        <v>235</v>
      </c>
      <c r="F146" s="501"/>
      <c r="G146" s="498" t="s">
        <v>270</v>
      </c>
      <c r="H146" s="499"/>
      <c r="I146" s="458" t="s">
        <v>410</v>
      </c>
      <c r="J146" s="459"/>
      <c r="K146" s="460"/>
      <c r="L146" s="493" t="s">
        <v>40</v>
      </c>
      <c r="M146" s="494"/>
      <c r="N146" s="493" t="s">
        <v>236</v>
      </c>
      <c r="O146" s="494"/>
      <c r="P146" s="567" t="s">
        <v>366</v>
      </c>
      <c r="Q146" s="568"/>
      <c r="R146" s="568"/>
      <c r="S146" s="363"/>
      <c r="U146" s="192"/>
      <c r="V146" s="192"/>
      <c r="W146" s="192"/>
      <c r="X146" s="171"/>
      <c r="Y146" s="160"/>
      <c r="Z146" s="378"/>
    </row>
    <row r="147" spans="2:26" ht="12.75" customHeight="1" x14ac:dyDescent="0.2">
      <c r="B147" s="496" t="s">
        <v>238</v>
      </c>
      <c r="C147" s="497"/>
      <c r="D147" s="497"/>
      <c r="E147" s="484"/>
      <c r="F147" s="485"/>
      <c r="G147" s="484" t="str">
        <f>"Gruppe " &amp; N140</f>
        <v xml:space="preserve">Gruppe </v>
      </c>
      <c r="H147" s="500"/>
      <c r="I147" s="537" t="s">
        <v>411</v>
      </c>
      <c r="J147" s="497"/>
      <c r="K147" s="538"/>
      <c r="L147" s="508" t="s">
        <v>41</v>
      </c>
      <c r="M147" s="509"/>
      <c r="N147" s="508" t="s">
        <v>239</v>
      </c>
      <c r="O147" s="509"/>
      <c r="P147" s="569"/>
      <c r="Q147" s="570"/>
      <c r="R147" s="570"/>
      <c r="S147" s="364"/>
      <c r="U147" s="192"/>
      <c r="V147" s="192"/>
      <c r="W147" s="192"/>
      <c r="X147" s="171"/>
      <c r="Y147" s="160"/>
      <c r="Z147" s="452" t="s">
        <v>38</v>
      </c>
    </row>
    <row r="148" spans="2:26" ht="12.75" x14ac:dyDescent="0.2">
      <c r="B148" s="199"/>
      <c r="C148" s="200"/>
      <c r="D148" s="200"/>
      <c r="E148" s="486"/>
      <c r="F148" s="492"/>
      <c r="G148" s="486" t="s">
        <v>271</v>
      </c>
      <c r="H148" s="487"/>
      <c r="I148" s="488"/>
      <c r="J148" s="489"/>
      <c r="K148" s="490"/>
      <c r="L148" s="502" t="s">
        <v>42</v>
      </c>
      <c r="M148" s="503"/>
      <c r="N148" s="502" t="s">
        <v>163</v>
      </c>
      <c r="O148" s="503"/>
      <c r="P148" s="571"/>
      <c r="Q148" s="572"/>
      <c r="R148" s="572"/>
      <c r="S148" s="365"/>
      <c r="U148" s="192"/>
      <c r="V148" s="192"/>
      <c r="W148" s="192"/>
      <c r="X148" s="171"/>
      <c r="Y148" s="160"/>
      <c r="Z148" s="452"/>
    </row>
    <row r="149" spans="2:26" ht="15.95" customHeight="1" x14ac:dyDescent="0.2">
      <c r="B149" s="548"/>
      <c r="C149" s="548"/>
      <c r="D149" s="548"/>
      <c r="E149" s="549"/>
      <c r="F149" s="549"/>
      <c r="G149" s="550" t="str">
        <f>IF(AND(E149&lt;&gt;"",Hauptberechnung!K17-Schmälerungsverbot!E149&lt;6574)=TRUE,"minderj.!",IF(E149&lt;&gt;"",DTParameter!E50,""))</f>
        <v/>
      </c>
      <c r="H149" s="550"/>
      <c r="I149" s="376" t="str">
        <f>IF(E149&lt;&gt;"",VLOOKUP(Dropdownfelder!A88,Dropdownfelder!A89:D97,4),"")</f>
        <v/>
      </c>
      <c r="J149" s="551" t="str">
        <f>IF(E149&lt;&gt;"",VLOOKUP(Dropdownfelder!A88,Dropdownfelder!A89:D97,3),"")</f>
        <v/>
      </c>
      <c r="K149" s="551"/>
      <c r="L149" s="552">
        <v>0</v>
      </c>
      <c r="M149" s="552"/>
      <c r="N149" s="552">
        <v>0</v>
      </c>
      <c r="O149" s="552"/>
      <c r="P149" s="531" t="str">
        <f>IF(G149&lt;&gt;"minderj.!",IF(Dropdownfelder!A88&lt;&gt;1,IF(E149&lt;&gt;"",IF(OR(G149&lt;&gt;0,L149&lt;&gt;0)=TRUE,IF(L149&lt;&gt;0,IF(L149-N149&lt;0,0,L149-N149),IF(G149+J149-N149&lt;0,0,G149+J149-N149)),0),""),""),"")</f>
        <v/>
      </c>
      <c r="Q149" s="532"/>
      <c r="R149" s="532"/>
      <c r="S149" s="366" t="s">
        <v>162</v>
      </c>
      <c r="U149" s="192"/>
      <c r="V149" s="192"/>
      <c r="W149" s="192"/>
      <c r="X149" s="171"/>
      <c r="Y149" s="160"/>
      <c r="Z149" s="452"/>
    </row>
    <row r="150" spans="2:26" ht="15.95" customHeight="1" x14ac:dyDescent="0.2">
      <c r="B150" s="548"/>
      <c r="C150" s="548"/>
      <c r="D150" s="548"/>
      <c r="E150" s="549"/>
      <c r="F150" s="549"/>
      <c r="G150" s="550" t="str">
        <f>IF(AND(E150&lt;&gt;"",Hauptberechnung!K17-Schmälerungsverbot!E150&lt;6574)=TRUE,"minderj.!",IF(E150&lt;&gt;"",DTParameter!E51,""))</f>
        <v/>
      </c>
      <c r="H150" s="550"/>
      <c r="I150" s="376" t="str">
        <f>IF(E150&lt;&gt;"",VLOOKUP(Dropdownfelder!A100,Dropdownfelder!A101:D109,4),"")</f>
        <v/>
      </c>
      <c r="J150" s="551" t="str">
        <f>IF(E150&lt;&gt;"",VLOOKUP(Dropdownfelder!A100,Dropdownfelder!A101:D109,3),"")</f>
        <v/>
      </c>
      <c r="K150" s="551"/>
      <c r="L150" s="552">
        <v>0</v>
      </c>
      <c r="M150" s="552"/>
      <c r="N150" s="552">
        <v>0</v>
      </c>
      <c r="O150" s="552"/>
      <c r="P150" s="531" t="str">
        <f>IF(G150&lt;&gt;"minderj.!",IF(Dropdownfelder!A100&lt;&gt;1,IF(E150&lt;&gt;"",IF(OR(G150&lt;&gt;0,L150&lt;&gt;0)=TRUE,IF(L150&lt;&gt;0,IF(L150-N150&lt;0,0,L150-N150),IF(G150+J150-N150&lt;0,0,G150+J150-N150)),0),""),""),"")</f>
        <v/>
      </c>
      <c r="Q150" s="532"/>
      <c r="R150" s="532"/>
      <c r="S150" s="366" t="s">
        <v>162</v>
      </c>
      <c r="U150" s="192"/>
      <c r="V150" s="192"/>
      <c r="W150" s="192"/>
      <c r="X150" s="171"/>
      <c r="Y150" s="160"/>
      <c r="Z150" s="451" t="s">
        <v>39</v>
      </c>
    </row>
    <row r="151" spans="2:26" ht="15.95" customHeight="1" x14ac:dyDescent="0.2">
      <c r="B151" s="548"/>
      <c r="C151" s="548"/>
      <c r="D151" s="548"/>
      <c r="E151" s="549"/>
      <c r="F151" s="549"/>
      <c r="G151" s="550" t="str">
        <f>IF(AND(E151&lt;&gt;"",Hauptberechnung!K17-Schmälerungsverbot!E151&lt;6574)=TRUE,"minderj.!",IF(E151&lt;&gt;"",DTParameter!E52,""))</f>
        <v/>
      </c>
      <c r="H151" s="550"/>
      <c r="I151" s="376" t="str">
        <f>IF(E151&lt;&gt;"",VLOOKUP(Dropdownfelder!A112,Dropdownfelder!A113:D117,4),"")</f>
        <v/>
      </c>
      <c r="J151" s="551" t="str">
        <f>IF(E151&lt;&gt;"",VLOOKUP(Dropdownfelder!A112,Dropdownfelder!A113:D117,3),"")</f>
        <v/>
      </c>
      <c r="K151" s="551"/>
      <c r="L151" s="552">
        <v>0</v>
      </c>
      <c r="M151" s="552"/>
      <c r="N151" s="552">
        <v>0</v>
      </c>
      <c r="O151" s="552"/>
      <c r="P151" s="531" t="str">
        <f>IF(G151&lt;&gt;"minderj.!",IF(Dropdownfelder!A112&lt;&gt;1,IF(E151&lt;&gt;"",IF(OR(G151&lt;&gt;0,L151&lt;&gt;0)=TRUE,IF(L151&lt;&gt;0,IF(L151-N151&lt;0,0,L151-N151),IF(G151+J151-N151&lt;0,0,G151+J151-N151)),0),""),""),"")</f>
        <v/>
      </c>
      <c r="Q151" s="532"/>
      <c r="R151" s="532"/>
      <c r="S151" s="366" t="s">
        <v>162</v>
      </c>
      <c r="U151" s="192"/>
      <c r="V151" s="192"/>
      <c r="W151" s="192"/>
      <c r="X151" s="171"/>
      <c r="Y151" s="160"/>
      <c r="Z151" s="451"/>
    </row>
    <row r="152" spans="2:26" ht="15.95" customHeight="1" x14ac:dyDescent="0.2">
      <c r="B152" s="548"/>
      <c r="C152" s="548"/>
      <c r="D152" s="548"/>
      <c r="E152" s="549"/>
      <c r="F152" s="549"/>
      <c r="G152" s="550" t="str">
        <f>IF(AND(E152&lt;&gt;"",Hauptberechnung!K17-Schmälerungsverbot!E152&lt;6574)=TRUE,"minderj.!",IF(E152&lt;&gt;"",DTParameter!E53,""))</f>
        <v/>
      </c>
      <c r="H152" s="550"/>
      <c r="I152" s="376" t="str">
        <f>IF(E152&lt;&gt;"",VLOOKUP(Dropdownfelder!A124,Dropdownfelder!A125:D133,4),"")</f>
        <v/>
      </c>
      <c r="J152" s="551" t="str">
        <f>IF(E152&lt;&gt;"",VLOOKUP(Dropdownfelder!A124,Dropdownfelder!A125:D133,3),"")</f>
        <v/>
      </c>
      <c r="K152" s="551"/>
      <c r="L152" s="552">
        <v>0</v>
      </c>
      <c r="M152" s="552"/>
      <c r="N152" s="552">
        <v>0</v>
      </c>
      <c r="O152" s="552"/>
      <c r="P152" s="531" t="str">
        <f>IF(G152&lt;&gt;"minderj.!",IF(Dropdownfelder!A124&lt;&gt;1,IF(E152&lt;&gt;"",IF(OR(G152&lt;&gt;0,L152&lt;&gt;0)=TRUE,IF(L152&lt;&gt;0,IF(L152-N152&lt;0,0,L152-N152),IF(G152+J152-N152&lt;0,0,G152+J152-N152)),0),""),""),"")</f>
        <v/>
      </c>
      <c r="Q152" s="532"/>
      <c r="R152" s="532"/>
      <c r="S152" s="366" t="s">
        <v>162</v>
      </c>
      <c r="U152" s="192"/>
      <c r="V152" s="192"/>
      <c r="W152" s="192"/>
      <c r="X152" s="171"/>
      <c r="Y152" s="160"/>
      <c r="Z152" s="451"/>
    </row>
    <row r="153" spans="2:26" ht="3.95" customHeight="1" x14ac:dyDescent="0.2">
      <c r="L153" s="368"/>
      <c r="M153" s="368"/>
      <c r="N153" s="368"/>
      <c r="O153" s="368"/>
      <c r="U153" s="192"/>
      <c r="V153" s="192"/>
      <c r="W153" s="192"/>
      <c r="X153" s="171"/>
      <c r="Y153" s="160"/>
      <c r="Z153" s="451"/>
    </row>
    <row r="154" spans="2:26" ht="15.95" customHeight="1" x14ac:dyDescent="0.2">
      <c r="B154" s="175" t="s">
        <v>24</v>
      </c>
      <c r="L154" s="368"/>
      <c r="M154" s="368"/>
      <c r="N154" s="368"/>
      <c r="O154" s="368"/>
      <c r="P154" s="456">
        <f>SUM(P149:R152)</f>
        <v>0</v>
      </c>
      <c r="Q154" s="456"/>
      <c r="R154" s="456"/>
      <c r="U154" s="468">
        <f>P154</f>
        <v>0</v>
      </c>
      <c r="V154" s="468"/>
      <c r="W154" s="468"/>
      <c r="X154" s="171" t="s">
        <v>163</v>
      </c>
      <c r="Y154" s="160"/>
      <c r="Z154" s="451"/>
    </row>
    <row r="155" spans="2:26" ht="8.1" customHeight="1" x14ac:dyDescent="0.2">
      <c r="L155" s="368"/>
      <c r="M155" s="368"/>
      <c r="N155" s="368"/>
      <c r="O155" s="368"/>
      <c r="U155" s="192"/>
      <c r="V155" s="192"/>
      <c r="W155" s="192"/>
      <c r="X155" s="171"/>
      <c r="Y155" s="160"/>
      <c r="Z155" s="215"/>
    </row>
    <row r="156" spans="2:26" ht="15.95" customHeight="1" x14ac:dyDescent="0.2">
      <c r="B156" s="174" t="s">
        <v>27</v>
      </c>
      <c r="L156" s="368" t="str">
        <f>"(" &amp; DTParameter!D42 &amp; " € ./. " &amp; ROUND(U102+U119+U138,2) &amp; " €)"</f>
        <v>(1300 € ./. 1080 €)</v>
      </c>
      <c r="M156" s="368"/>
      <c r="N156" s="368"/>
      <c r="O156" s="368"/>
      <c r="U156" s="519">
        <f>IF(P154&gt;0,IF(OR(U138=0,U119=0)=TRUE,DTParameter!D42-U102-U119-U138,0),0)</f>
        <v>0</v>
      </c>
      <c r="V156" s="519"/>
      <c r="W156" s="519"/>
      <c r="X156" s="189" t="s">
        <v>163</v>
      </c>
      <c r="Y156" s="160"/>
      <c r="Z156" s="451" t="s">
        <v>34</v>
      </c>
    </row>
    <row r="157" spans="2:26" ht="3.95" customHeight="1" x14ac:dyDescent="0.2">
      <c r="B157" s="169"/>
      <c r="C157" s="169"/>
      <c r="D157" s="169"/>
      <c r="E157" s="169"/>
      <c r="F157" s="169"/>
      <c r="G157" s="169"/>
      <c r="H157" s="169"/>
      <c r="U157" s="173"/>
      <c r="V157" s="173"/>
      <c r="W157" s="173"/>
      <c r="X157" s="171"/>
      <c r="Y157" s="160"/>
      <c r="Z157" s="451"/>
    </row>
    <row r="158" spans="2:26" ht="15.95" customHeight="1" x14ac:dyDescent="0.2">
      <c r="B158" s="174" t="s">
        <v>359</v>
      </c>
      <c r="L158" s="368"/>
      <c r="M158" s="368"/>
      <c r="N158" s="368"/>
      <c r="O158" s="368"/>
      <c r="U158" s="456">
        <f>IF(U140-U154-U156&lt;0,0,U140-U154-U156)</f>
        <v>0</v>
      </c>
      <c r="V158" s="456"/>
      <c r="W158" s="456"/>
      <c r="X158" s="171"/>
      <c r="Y158" s="160"/>
      <c r="Z158" s="451"/>
    </row>
    <row r="159" spans="2:26" ht="15.95" customHeight="1" x14ac:dyDescent="0.2">
      <c r="L159" s="368"/>
      <c r="M159" s="368"/>
      <c r="N159" s="368"/>
      <c r="O159" s="368"/>
      <c r="U159" s="192"/>
      <c r="V159" s="192"/>
      <c r="W159" s="192"/>
      <c r="X159" s="171"/>
      <c r="Y159" s="160"/>
      <c r="Z159" s="215"/>
    </row>
    <row r="160" spans="2:26" ht="15.95" customHeight="1" x14ac:dyDescent="0.2">
      <c r="U160" s="468"/>
      <c r="V160" s="468"/>
      <c r="W160" s="468"/>
      <c r="Y160" s="160"/>
      <c r="Z160" s="215"/>
    </row>
    <row r="161" spans="2:26" s="68" customFormat="1" ht="20.100000000000001" customHeight="1" x14ac:dyDescent="0.2">
      <c r="B161" s="457" t="s">
        <v>265</v>
      </c>
      <c r="C161" s="457"/>
      <c r="D161" s="457"/>
      <c r="E161" s="457"/>
      <c r="F161" s="457"/>
      <c r="G161" s="457"/>
      <c r="H161" s="457"/>
      <c r="I161" s="457"/>
      <c r="J161" s="457"/>
      <c r="K161" s="457"/>
      <c r="L161" s="457"/>
      <c r="M161" s="457"/>
      <c r="N161" s="457"/>
      <c r="O161" s="457"/>
      <c r="P161" s="457"/>
      <c r="Q161" s="457"/>
      <c r="R161" s="457"/>
      <c r="S161" s="457"/>
      <c r="T161" s="457"/>
      <c r="U161" s="457"/>
      <c r="V161" s="457"/>
      <c r="W161" s="457"/>
      <c r="X161" s="457"/>
      <c r="Y161" s="150"/>
      <c r="Z161" s="215"/>
    </row>
    <row r="162" spans="2:26" s="169" customFormat="1" ht="15.95" customHeight="1" x14ac:dyDescent="0.2">
      <c r="B162" s="172"/>
      <c r="C162" s="172"/>
      <c r="D162" s="172"/>
      <c r="E162" s="172"/>
      <c r="F162" s="172"/>
      <c r="G162" s="172"/>
      <c r="H162" s="172"/>
      <c r="I162" s="172"/>
      <c r="J162" s="172"/>
      <c r="K162" s="172"/>
      <c r="L162" s="172"/>
      <c r="M162" s="172"/>
      <c r="N162" s="172"/>
      <c r="U162" s="173"/>
      <c r="V162" s="173"/>
      <c r="W162" s="173"/>
      <c r="X162" s="171"/>
      <c r="Y162" s="161"/>
      <c r="Z162" s="215"/>
    </row>
    <row r="163" spans="2:26" ht="15.95" customHeight="1" x14ac:dyDescent="0.2">
      <c r="B163" s="174" t="s">
        <v>28</v>
      </c>
      <c r="C163" s="169"/>
      <c r="D163" s="169"/>
      <c r="E163" s="169"/>
      <c r="F163" s="169"/>
      <c r="G163" s="169"/>
      <c r="H163" s="169"/>
      <c r="U163" s="468">
        <f>IF(U73&lt;&gt;0,Hauptberechnung!U109,0)</f>
        <v>0</v>
      </c>
      <c r="V163" s="468"/>
      <c r="W163" s="468"/>
      <c r="Y163" s="160"/>
      <c r="Z163" s="215"/>
    </row>
    <row r="164" spans="2:26" ht="15.95" customHeight="1" x14ac:dyDescent="0.2">
      <c r="B164" s="169" t="s">
        <v>29</v>
      </c>
      <c r="C164" s="169"/>
      <c r="D164" s="169"/>
      <c r="E164" s="169"/>
      <c r="F164" s="169"/>
      <c r="G164" s="169"/>
      <c r="H164" s="169"/>
      <c r="U164" s="519">
        <f>U158</f>
        <v>0</v>
      </c>
      <c r="V164" s="519"/>
      <c r="W164" s="519"/>
      <c r="X164" s="189" t="s">
        <v>163</v>
      </c>
      <c r="Y164" s="160"/>
      <c r="Z164" s="451" t="s">
        <v>43</v>
      </c>
    </row>
    <row r="165" spans="2:26" ht="3.95" customHeight="1" x14ac:dyDescent="0.2">
      <c r="B165" s="169"/>
      <c r="C165" s="169"/>
      <c r="D165" s="169"/>
      <c r="E165" s="169"/>
      <c r="F165" s="169"/>
      <c r="G165" s="169"/>
      <c r="H165" s="169"/>
      <c r="U165" s="173"/>
      <c r="V165" s="173"/>
      <c r="W165" s="173"/>
      <c r="X165" s="171"/>
      <c r="Y165" s="160"/>
      <c r="Z165" s="451"/>
    </row>
    <row r="166" spans="2:26" ht="15.95" customHeight="1" x14ac:dyDescent="0.2">
      <c r="B166" s="197" t="s">
        <v>30</v>
      </c>
      <c r="C166" s="169"/>
      <c r="D166" s="169"/>
      <c r="E166" s="169"/>
      <c r="F166" s="169"/>
      <c r="G166" s="169"/>
      <c r="H166" s="169"/>
      <c r="S166" s="158"/>
      <c r="T166" s="377"/>
      <c r="U166" s="456">
        <f>IF(U73&lt;&gt;0,IF(U164&lt;U163,U163-U164,0),0)</f>
        <v>0</v>
      </c>
      <c r="V166" s="456"/>
      <c r="W166" s="456"/>
      <c r="Y166" s="160"/>
      <c r="Z166" s="451"/>
    </row>
    <row r="167" spans="2:26" ht="15.95" customHeight="1" x14ac:dyDescent="0.2">
      <c r="B167" s="169"/>
      <c r="C167" s="169"/>
      <c r="D167" s="169"/>
      <c r="E167" s="169"/>
      <c r="F167" s="169"/>
      <c r="G167" s="169"/>
      <c r="H167" s="169"/>
      <c r="U167" s="381"/>
      <c r="V167" s="173"/>
      <c r="W167" s="173"/>
      <c r="Y167" s="160"/>
      <c r="Z167" s="215"/>
    </row>
    <row r="168" spans="2:26" ht="15.95" customHeight="1" x14ac:dyDescent="0.2">
      <c r="Y168" s="316"/>
    </row>
  </sheetData>
  <sheetProtection sheet="1" objects="1" scenarios="1" autoFilter="0"/>
  <mergeCells count="311">
    <mergeCell ref="U164:W164"/>
    <mergeCell ref="U166:W166"/>
    <mergeCell ref="E148:F148"/>
    <mergeCell ref="G148:H148"/>
    <mergeCell ref="I148:K148"/>
    <mergeCell ref="Z164:Z166"/>
    <mergeCell ref="P110:R112"/>
    <mergeCell ref="P129:R131"/>
    <mergeCell ref="P146:R148"/>
    <mergeCell ref="Z119:Z121"/>
    <mergeCell ref="Z138:Z140"/>
    <mergeCell ref="Z156:Z158"/>
    <mergeCell ref="Z129:Z134"/>
    <mergeCell ref="Z143:Z145"/>
    <mergeCell ref="Z147:Z149"/>
    <mergeCell ref="Z150:Z154"/>
    <mergeCell ref="U160:W160"/>
    <mergeCell ref="B161:X161"/>
    <mergeCell ref="U163:W163"/>
    <mergeCell ref="B150:D150"/>
    <mergeCell ref="E150:F150"/>
    <mergeCell ref="G150:H150"/>
    <mergeCell ref="J150:K150"/>
    <mergeCell ref="L150:M150"/>
    <mergeCell ref="L149:M149"/>
    <mergeCell ref="N149:O149"/>
    <mergeCell ref="P151:R151"/>
    <mergeCell ref="N150:O150"/>
    <mergeCell ref="T134:W134"/>
    <mergeCell ref="B132:E132"/>
    <mergeCell ref="L134:M134"/>
    <mergeCell ref="N134:O134"/>
    <mergeCell ref="B147:D147"/>
    <mergeCell ref="E147:F147"/>
    <mergeCell ref="G147:H147"/>
    <mergeCell ref="I147:K147"/>
    <mergeCell ref="L146:M146"/>
    <mergeCell ref="N146:O146"/>
    <mergeCell ref="B146:D146"/>
    <mergeCell ref="E146:F146"/>
    <mergeCell ref="G146:H146"/>
    <mergeCell ref="I146:K146"/>
    <mergeCell ref="E149:F149"/>
    <mergeCell ref="G149:H149"/>
    <mergeCell ref="J149:K149"/>
    <mergeCell ref="P154:R154"/>
    <mergeCell ref="U154:W154"/>
    <mergeCell ref="U156:W156"/>
    <mergeCell ref="U158:W158"/>
    <mergeCell ref="P132:R132"/>
    <mergeCell ref="T132:W132"/>
    <mergeCell ref="T133:W133"/>
    <mergeCell ref="U140:W140"/>
    <mergeCell ref="P136:R136"/>
    <mergeCell ref="P115:R115"/>
    <mergeCell ref="B115:F115"/>
    <mergeCell ref="G115:K115"/>
    <mergeCell ref="L148:M148"/>
    <mergeCell ref="N148:O148"/>
    <mergeCell ref="L133:M133"/>
    <mergeCell ref="N133:O133"/>
    <mergeCell ref="F134:K134"/>
    <mergeCell ref="L138:O138"/>
    <mergeCell ref="B134:E134"/>
    <mergeCell ref="B129:E131"/>
    <mergeCell ref="F129:K131"/>
    <mergeCell ref="F132:K132"/>
    <mergeCell ref="B133:E133"/>
    <mergeCell ref="F133:K133"/>
    <mergeCell ref="L129:M131"/>
    <mergeCell ref="N129:O131"/>
    <mergeCell ref="L132:M132"/>
    <mergeCell ref="N132:O132"/>
    <mergeCell ref="L147:M147"/>
    <mergeCell ref="N147:O147"/>
    <mergeCell ref="L113:M113"/>
    <mergeCell ref="B114:F114"/>
    <mergeCell ref="G114:K114"/>
    <mergeCell ref="N151:O151"/>
    <mergeCell ref="P150:R150"/>
    <mergeCell ref="U124:W124"/>
    <mergeCell ref="P117:R117"/>
    <mergeCell ref="U117:W117"/>
    <mergeCell ref="P133:R133"/>
    <mergeCell ref="P134:R134"/>
    <mergeCell ref="U136:W136"/>
    <mergeCell ref="U138:W138"/>
    <mergeCell ref="L114:M114"/>
    <mergeCell ref="N114:O114"/>
    <mergeCell ref="L119:O119"/>
    <mergeCell ref="U119:W119"/>
    <mergeCell ref="T114:W114"/>
    <mergeCell ref="L115:M115"/>
    <mergeCell ref="N115:O115"/>
    <mergeCell ref="T115:W115"/>
    <mergeCell ref="U121:W121"/>
    <mergeCell ref="P149:R149"/>
    <mergeCell ref="B149:D149"/>
    <mergeCell ref="P114:R114"/>
    <mergeCell ref="B152:D152"/>
    <mergeCell ref="E152:F152"/>
    <mergeCell ref="G152:H152"/>
    <mergeCell ref="J152:K152"/>
    <mergeCell ref="L152:M152"/>
    <mergeCell ref="N152:O152"/>
    <mergeCell ref="P152:R152"/>
    <mergeCell ref="B151:D151"/>
    <mergeCell ref="E151:F151"/>
    <mergeCell ref="G151:H151"/>
    <mergeCell ref="J151:K151"/>
    <mergeCell ref="L151:M151"/>
    <mergeCell ref="B113:F113"/>
    <mergeCell ref="N113:O113"/>
    <mergeCell ref="T113:W113"/>
    <mergeCell ref="Z102:Z106"/>
    <mergeCell ref="P113:R113"/>
    <mergeCell ref="B110:F112"/>
    <mergeCell ref="L110:M112"/>
    <mergeCell ref="U50:W50"/>
    <mergeCell ref="B92:D92"/>
    <mergeCell ref="B96:D96"/>
    <mergeCell ref="E95:F95"/>
    <mergeCell ref="E96:F96"/>
    <mergeCell ref="B95:D95"/>
    <mergeCell ref="B93:D93"/>
    <mergeCell ref="B94:D94"/>
    <mergeCell ref="G93:H93"/>
    <mergeCell ref="G92:H92"/>
    <mergeCell ref="E89:F89"/>
    <mergeCell ref="G91:H91"/>
    <mergeCell ref="I87:K87"/>
    <mergeCell ref="L87:M87"/>
    <mergeCell ref="N110:O112"/>
    <mergeCell ref="G113:K113"/>
    <mergeCell ref="G110:K112"/>
    <mergeCell ref="Z4:Z7"/>
    <mergeCell ref="K29:M29"/>
    <mergeCell ref="K30:M30"/>
    <mergeCell ref="K32:M32"/>
    <mergeCell ref="U32:W32"/>
    <mergeCell ref="K21:M21"/>
    <mergeCell ref="K16:M16"/>
    <mergeCell ref="U16:W16"/>
    <mergeCell ref="K19:M19"/>
    <mergeCell ref="K17:M17"/>
    <mergeCell ref="U22:W22"/>
    <mergeCell ref="K23:M23"/>
    <mergeCell ref="K20:M20"/>
    <mergeCell ref="Z9:Z11"/>
    <mergeCell ref="U18:W18"/>
    <mergeCell ref="U19:W19"/>
    <mergeCell ref="U20:W20"/>
    <mergeCell ref="U21:W21"/>
    <mergeCell ref="K18:M18"/>
    <mergeCell ref="K9:M9"/>
    <mergeCell ref="U27:W27"/>
    <mergeCell ref="B7:X7"/>
    <mergeCell ref="K25:M25"/>
    <mergeCell ref="U25:W25"/>
    <mergeCell ref="B90:D90"/>
    <mergeCell ref="B91:D91"/>
    <mergeCell ref="K1:N1"/>
    <mergeCell ref="R1:S1"/>
    <mergeCell ref="L46:N46"/>
    <mergeCell ref="L48:N48"/>
    <mergeCell ref="P48:R48"/>
    <mergeCell ref="B52:X52"/>
    <mergeCell ref="E90:F90"/>
    <mergeCell ref="U17:W17"/>
    <mergeCell ref="N91:O91"/>
    <mergeCell ref="J90:K90"/>
    <mergeCell ref="U23:W23"/>
    <mergeCell ref="B24:G24"/>
    <mergeCell ref="K24:M24"/>
    <mergeCell ref="U24:W24"/>
    <mergeCell ref="K22:M22"/>
    <mergeCell ref="B34:X34"/>
    <mergeCell ref="K27:M27"/>
    <mergeCell ref="B16:G16"/>
    <mergeCell ref="B15:G15"/>
    <mergeCell ref="U37:W37"/>
    <mergeCell ref="P37:R37"/>
    <mergeCell ref="B25:G25"/>
    <mergeCell ref="L91:M91"/>
    <mergeCell ref="J91:K91"/>
    <mergeCell ref="J89:K89"/>
    <mergeCell ref="N90:O90"/>
    <mergeCell ref="L90:M90"/>
    <mergeCell ref="N87:O87"/>
    <mergeCell ref="N88:O88"/>
    <mergeCell ref="L89:M89"/>
    <mergeCell ref="V1:W1"/>
    <mergeCell ref="U15:W15"/>
    <mergeCell ref="O9:Q9"/>
    <mergeCell ref="K14:M14"/>
    <mergeCell ref="K15:M15"/>
    <mergeCell ref="U14:W14"/>
    <mergeCell ref="H37:J37"/>
    <mergeCell ref="U36:W36"/>
    <mergeCell ref="P39:R39"/>
    <mergeCell ref="P87:R87"/>
    <mergeCell ref="P90:R90"/>
    <mergeCell ref="P89:R89"/>
    <mergeCell ref="P88:R88"/>
    <mergeCell ref="U58:W58"/>
    <mergeCell ref="U54:W54"/>
    <mergeCell ref="U55:W55"/>
    <mergeCell ref="E87:F87"/>
    <mergeCell ref="G88:H88"/>
    <mergeCell ref="I88:K88"/>
    <mergeCell ref="N89:O89"/>
    <mergeCell ref="E88:F88"/>
    <mergeCell ref="B46:J46"/>
    <mergeCell ref="L43:N43"/>
    <mergeCell ref="N86:O86"/>
    <mergeCell ref="B86:D86"/>
    <mergeCell ref="B87:D87"/>
    <mergeCell ref="G86:H86"/>
    <mergeCell ref="G87:H87"/>
    <mergeCell ref="E86:F86"/>
    <mergeCell ref="L86:M86"/>
    <mergeCell ref="L44:N44"/>
    <mergeCell ref="L88:M88"/>
    <mergeCell ref="B89:D89"/>
    <mergeCell ref="B54:N54"/>
    <mergeCell ref="G89:H89"/>
    <mergeCell ref="B64:X64"/>
    <mergeCell ref="B67:N67"/>
    <mergeCell ref="B68:N68"/>
    <mergeCell ref="B69:N69"/>
    <mergeCell ref="B70:N70"/>
    <mergeCell ref="G90:H90"/>
    <mergeCell ref="G94:H94"/>
    <mergeCell ref="G95:H95"/>
    <mergeCell ref="G96:H96"/>
    <mergeCell ref="E93:F93"/>
    <mergeCell ref="E94:F94"/>
    <mergeCell ref="E91:F91"/>
    <mergeCell ref="E92:F92"/>
    <mergeCell ref="J96:K96"/>
    <mergeCell ref="J93:K93"/>
    <mergeCell ref="N92:O92"/>
    <mergeCell ref="N93:O93"/>
    <mergeCell ref="L93:M93"/>
    <mergeCell ref="P96:R96"/>
    <mergeCell ref="J92:K92"/>
    <mergeCell ref="L97:M97"/>
    <mergeCell ref="L94:M94"/>
    <mergeCell ref="N94:O94"/>
    <mergeCell ref="J94:K94"/>
    <mergeCell ref="L96:M96"/>
    <mergeCell ref="N96:O96"/>
    <mergeCell ref="L95:M95"/>
    <mergeCell ref="N95:O95"/>
    <mergeCell ref="J95:K95"/>
    <mergeCell ref="L92:M92"/>
    <mergeCell ref="Z110:Z112"/>
    <mergeCell ref="B98:D98"/>
    <mergeCell ref="G98:H98"/>
    <mergeCell ref="J97:K97"/>
    <mergeCell ref="N97:O97"/>
    <mergeCell ref="L98:M98"/>
    <mergeCell ref="N98:O98"/>
    <mergeCell ref="E98:F98"/>
    <mergeCell ref="J98:K98"/>
    <mergeCell ref="B97:D97"/>
    <mergeCell ref="E97:F97"/>
    <mergeCell ref="U104:W104"/>
    <mergeCell ref="G97:H97"/>
    <mergeCell ref="Z94:Z96"/>
    <mergeCell ref="Z97:Z98"/>
    <mergeCell ref="U102:W102"/>
    <mergeCell ref="T86:X98"/>
    <mergeCell ref="Z89:Z91"/>
    <mergeCell ref="P100:R100"/>
    <mergeCell ref="U100:W100"/>
    <mergeCell ref="P98:R98"/>
    <mergeCell ref="P97:R97"/>
    <mergeCell ref="P91:R91"/>
    <mergeCell ref="P86:R86"/>
    <mergeCell ref="P95:R95"/>
    <mergeCell ref="P93:R93"/>
    <mergeCell ref="P94:R94"/>
    <mergeCell ref="P92:R92"/>
    <mergeCell ref="U56:W56"/>
    <mergeCell ref="U57:W57"/>
    <mergeCell ref="U60:W60"/>
    <mergeCell ref="B75:X75"/>
    <mergeCell ref="I86:K86"/>
    <mergeCell ref="B56:N56"/>
    <mergeCell ref="B57:N57"/>
    <mergeCell ref="B58:N58"/>
    <mergeCell ref="B55:N55"/>
    <mergeCell ref="B71:N71"/>
    <mergeCell ref="U67:W67"/>
    <mergeCell ref="U68:W68"/>
    <mergeCell ref="U69:W69"/>
    <mergeCell ref="U70:W70"/>
    <mergeCell ref="U71:W71"/>
    <mergeCell ref="U73:W73"/>
    <mergeCell ref="U62:W62"/>
    <mergeCell ref="Z14:Z25"/>
    <mergeCell ref="Z92:Z93"/>
    <mergeCell ref="Z36:Z40"/>
    <mergeCell ref="Z41:Z44"/>
    <mergeCell ref="Z46:Z48"/>
    <mergeCell ref="Z49:Z50"/>
    <mergeCell ref="Z83:Z87"/>
    <mergeCell ref="Z80:Z81"/>
    <mergeCell ref="Z76:Z79"/>
    <mergeCell ref="Z66:Z71"/>
  </mergeCells>
  <phoneticPr fontId="9" type="noConversion"/>
  <conditionalFormatting sqref="L149:O152 L132:O135 U160:W160 U162:W162 U102:W103 U106:W109 I77 N80 N47:O47 E42 L50:L51 L45 L46:N46 U51:W51 U35:W47 Q43:Q47 U4:W6 P42:Q42 U61:W61 U53:W57 L41 I42 U59:W59 L113:O116 L89:O99 U65:W72 U74:W74 U63:W63 U76:W76">
    <cfRule type="cellIs" dxfId="23" priority="7" stopIfTrue="1" operator="equal">
      <formula>0</formula>
    </cfRule>
  </conditionalFormatting>
  <conditionalFormatting sqref="P135:R135 P89:R99 U163:U167 U157 P116:R116">
    <cfRule type="cellIs" dxfId="22" priority="8" stopIfTrue="1" operator="equal">
      <formula>"Auswahl!"</formula>
    </cfRule>
  </conditionalFormatting>
  <conditionalFormatting sqref="B162:N162 B53:N53 B35:N35">
    <cfRule type="cellIs" dxfId="21" priority="17" stopIfTrue="1" operator="equal">
      <formula>"Unterhaltsrechtlich zusätzlich zu berücksichtigendes Einkommen"</formula>
    </cfRule>
  </conditionalFormatting>
  <conditionalFormatting sqref="E135 E90:E99 E116 E149:E152">
    <cfRule type="cellIs" dxfId="20" priority="9" stopIfTrue="1" operator="equal">
      <formula>"entfällt"</formula>
    </cfRule>
  </conditionalFormatting>
  <conditionalFormatting sqref="B135:D135 B149:D152 B116:D116 B90:D99">
    <cfRule type="cellIs" dxfId="19" priority="16" stopIfTrue="1" operator="equal">
      <formula>"Name eingeben"</formula>
    </cfRule>
  </conditionalFormatting>
  <conditionalFormatting sqref="G149:H152">
    <cfRule type="cellIs" dxfId="18" priority="27" stopIfTrue="1" operator="equal">
      <formula>"minderj.!"</formula>
    </cfRule>
  </conditionalFormatting>
  <conditionalFormatting sqref="N77 B4:I6 B77">
    <cfRule type="cellIs" dxfId="17" priority="10" stopIfTrue="1" operator="equal">
      <formula>"Vermietung / Verpachtung"</formula>
    </cfRule>
  </conditionalFormatting>
  <conditionalFormatting sqref="B59:N59">
    <cfRule type="cellIs" dxfId="16" priority="11" stopIfTrue="1" operator="equal">
      <formula>"Nettoeinkünfte aus Selbstständigkeit, siehe ggf. Nebenrechnung"</formula>
    </cfRule>
  </conditionalFormatting>
  <conditionalFormatting sqref="B54:N54">
    <cfRule type="cellIs" dxfId="15" priority="12" stopIfTrue="1" operator="equal">
      <formula>"Einkünfte aus Vermietung/Verpachtung"</formula>
    </cfRule>
  </conditionalFormatting>
  <conditionalFormatting sqref="B55:N55">
    <cfRule type="cellIs" dxfId="14" priority="13" stopIfTrue="1" operator="equal">
      <formula>"Renteneinkünfte"</formula>
    </cfRule>
  </conditionalFormatting>
  <conditionalFormatting sqref="B56:N56">
    <cfRule type="cellIs" dxfId="13" priority="14" stopIfTrue="1" operator="equal">
      <formula>"Einkünfte aus Zinsen, Dividenden, Kapitalerlösen"</formula>
    </cfRule>
  </conditionalFormatting>
  <conditionalFormatting sqref="B57:N57">
    <cfRule type="cellIs" dxfId="12" priority="15" stopIfTrue="1" operator="equal">
      <formula>"Sonstige Zuwendungen"</formula>
    </cfRule>
  </conditionalFormatting>
  <conditionalFormatting sqref="B46:K46">
    <cfRule type="cellIs" dxfId="11" priority="18" stopIfTrue="1" operator="equal">
      <formula>"Sonstiger berufsbedingter Aufwand"</formula>
    </cfRule>
  </conditionalFormatting>
  <conditionalFormatting sqref="K14:M26 U14:W26">
    <cfRule type="cellIs" dxfId="10" priority="19" stopIfTrue="1" operator="equal">
      <formula>0</formula>
    </cfRule>
    <cfRule type="cellIs" dxfId="9" priority="20" stopIfTrue="1" operator="greaterThan">
      <formula>0</formula>
    </cfRule>
    <cfRule type="cellIs" dxfId="8" priority="21" stopIfTrue="1" operator="lessThan">
      <formula>0</formula>
    </cfRule>
  </conditionalFormatting>
  <conditionalFormatting sqref="B67:N67">
    <cfRule type="cellIs" dxfId="7" priority="2" stopIfTrue="1" operator="equal">
      <formula>"Beitrag zur Altersvorsorge"</formula>
    </cfRule>
  </conditionalFormatting>
  <conditionalFormatting sqref="B68:N68">
    <cfRule type="cellIs" dxfId="6" priority="3" stopIfTrue="1" operator="equal">
      <formula>"Beitrag zur Krankenversicherung"</formula>
    </cfRule>
  </conditionalFormatting>
  <conditionalFormatting sqref="B69:N69">
    <cfRule type="cellIs" dxfId="5" priority="4" stopIfTrue="1" operator="equal">
      <formula>"Beitrag zur Pflegeversicherung"</formula>
    </cfRule>
  </conditionalFormatting>
  <conditionalFormatting sqref="B70:N70">
    <cfRule type="cellIs" dxfId="4" priority="5" stopIfTrue="1" operator="equal">
      <formula>"Beitrag zur Arbeitslosenversicherung"</formula>
    </cfRule>
  </conditionalFormatting>
  <conditionalFormatting sqref="B71:N71">
    <cfRule type="cellIs" dxfId="3" priority="1" operator="equal">
      <formula>"Schuldverpflichtungen"</formula>
    </cfRule>
    <cfRule type="cellIs" dxfId="2" priority="6" stopIfTrue="1" operator="equal">
      <formula>"Sonstiger Beitrag"</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xr:uid="{00000000-0002-0000-0200-000000000000}"/>
    <dataValidation allowBlank="1" showInputMessage="1" promptTitle="Hinweis" prompt="Den hier vorgeschlagenen Text können Sie überschreiben." sqref="B46:J46 B54:N57" xr:uid="{00000000-0002-0000-0200-000001000000}"/>
  </dataValidations>
  <hyperlinks>
    <hyperlink ref="K1" r:id="rId1" tooltip="www.kostenbeitrag.de - Infos für Jugendämter in Hessen" xr:uid="{00000000-0004-0000-02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2" manualBreakCount="2">
    <brk id="61" max="16383" man="1"/>
    <brk id="12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95</xdr:row>
                    <xdr:rowOff>0</xdr:rowOff>
                  </from>
                  <to>
                    <xdr:col>11</xdr:col>
                    <xdr:colOff>0</xdr:colOff>
                    <xdr:row>96</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96</xdr:row>
                    <xdr:rowOff>0</xdr:rowOff>
                  </from>
                  <to>
                    <xdr:col>11</xdr:col>
                    <xdr:colOff>0</xdr:colOff>
                    <xdr:row>97</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97</xdr:row>
                    <xdr:rowOff>0</xdr:rowOff>
                  </from>
                  <to>
                    <xdr:col>11</xdr:col>
                    <xdr:colOff>0</xdr:colOff>
                    <xdr:row>98</xdr:row>
                    <xdr:rowOff>0</xdr:rowOff>
                  </to>
                </anchor>
              </controlPr>
            </control>
          </mc:Choice>
        </mc:AlternateContent>
        <mc:AlternateContent xmlns:mc="http://schemas.openxmlformats.org/markup-compatibility/2006">
          <mc:Choice Requires="x14">
            <control shapeId="2061" r:id="rId15" name="Drop Down 13">
              <controlPr defaultSize="0" print="0" autoLine="0" autoPict="0">
                <anchor moveWithCells="1">
                  <from>
                    <xdr:col>5</xdr:col>
                    <xdr:colOff>0</xdr:colOff>
                    <xdr:row>131</xdr:row>
                    <xdr:rowOff>0</xdr:rowOff>
                  </from>
                  <to>
                    <xdr:col>11</xdr:col>
                    <xdr:colOff>0</xdr:colOff>
                    <xdr:row>132</xdr:row>
                    <xdr:rowOff>0</xdr:rowOff>
                  </to>
                </anchor>
              </controlPr>
            </control>
          </mc:Choice>
        </mc:AlternateContent>
        <mc:AlternateContent xmlns:mc="http://schemas.openxmlformats.org/markup-compatibility/2006">
          <mc:Choice Requires="x14">
            <control shapeId="2062" r:id="rId16" name="Drop Down 14">
              <controlPr defaultSize="0" print="0" autoLine="0" autoPict="0">
                <anchor moveWithCells="1">
                  <from>
                    <xdr:col>5</xdr:col>
                    <xdr:colOff>0</xdr:colOff>
                    <xdr:row>132</xdr:row>
                    <xdr:rowOff>0</xdr:rowOff>
                  </from>
                  <to>
                    <xdr:col>11</xdr:col>
                    <xdr:colOff>0</xdr:colOff>
                    <xdr:row>133</xdr:row>
                    <xdr:rowOff>0</xdr:rowOff>
                  </to>
                </anchor>
              </controlPr>
            </control>
          </mc:Choice>
        </mc:AlternateContent>
        <mc:AlternateContent xmlns:mc="http://schemas.openxmlformats.org/markup-compatibility/2006">
          <mc:Choice Requires="x14">
            <control shapeId="2063" r:id="rId17" name="Drop Down 15">
              <controlPr defaultSize="0" print="0" autoLine="0" autoPict="0">
                <anchor moveWithCells="1">
                  <from>
                    <xdr:col>5</xdr:col>
                    <xdr:colOff>0</xdr:colOff>
                    <xdr:row>133</xdr:row>
                    <xdr:rowOff>0</xdr:rowOff>
                  </from>
                  <to>
                    <xdr:col>11</xdr:col>
                    <xdr:colOff>0</xdr:colOff>
                    <xdr:row>134</xdr:row>
                    <xdr:rowOff>0</xdr:rowOff>
                  </to>
                </anchor>
              </controlPr>
            </control>
          </mc:Choice>
        </mc:AlternateContent>
        <mc:AlternateContent xmlns:mc="http://schemas.openxmlformats.org/markup-compatibility/2006">
          <mc:Choice Requires="x14">
            <control shapeId="2068" r:id="rId18" name="Drop Down 20">
              <controlPr defaultSize="0" print="0" autoLine="0" autoPict="0">
                <anchor moveWithCells="1">
                  <from>
                    <xdr:col>8</xdr:col>
                    <xdr:colOff>0</xdr:colOff>
                    <xdr:row>148</xdr:row>
                    <xdr:rowOff>0</xdr:rowOff>
                  </from>
                  <to>
                    <xdr:col>11</xdr:col>
                    <xdr:colOff>0</xdr:colOff>
                    <xdr:row>149</xdr:row>
                    <xdr:rowOff>0</xdr:rowOff>
                  </to>
                </anchor>
              </controlPr>
            </control>
          </mc:Choice>
        </mc:AlternateContent>
        <mc:AlternateContent xmlns:mc="http://schemas.openxmlformats.org/markup-compatibility/2006">
          <mc:Choice Requires="x14">
            <control shapeId="2069" r:id="rId19" name="Drop Down 21">
              <controlPr defaultSize="0" print="0" autoLine="0" autoPict="0">
                <anchor moveWithCells="1">
                  <from>
                    <xdr:col>8</xdr:col>
                    <xdr:colOff>0</xdr:colOff>
                    <xdr:row>149</xdr:row>
                    <xdr:rowOff>0</xdr:rowOff>
                  </from>
                  <to>
                    <xdr:col>11</xdr:col>
                    <xdr:colOff>0</xdr:colOff>
                    <xdr:row>150</xdr:row>
                    <xdr:rowOff>0</xdr:rowOff>
                  </to>
                </anchor>
              </controlPr>
            </control>
          </mc:Choice>
        </mc:AlternateContent>
        <mc:AlternateContent xmlns:mc="http://schemas.openxmlformats.org/markup-compatibility/2006">
          <mc:Choice Requires="x14">
            <control shapeId="2070" r:id="rId20" name="Drop Down 22">
              <controlPr defaultSize="0" print="0" autoLine="0" autoPict="0">
                <anchor moveWithCells="1">
                  <from>
                    <xdr:col>8</xdr:col>
                    <xdr:colOff>0</xdr:colOff>
                    <xdr:row>150</xdr:row>
                    <xdr:rowOff>0</xdr:rowOff>
                  </from>
                  <to>
                    <xdr:col>11</xdr:col>
                    <xdr:colOff>0</xdr:colOff>
                    <xdr:row>151</xdr:row>
                    <xdr:rowOff>0</xdr:rowOff>
                  </to>
                </anchor>
              </controlPr>
            </control>
          </mc:Choice>
        </mc:AlternateContent>
        <mc:AlternateContent xmlns:mc="http://schemas.openxmlformats.org/markup-compatibility/2006">
          <mc:Choice Requires="x14">
            <control shapeId="2071" r:id="rId21" name="Drop Down 23">
              <controlPr defaultSize="0" print="0" autoLine="0" autoPict="0">
                <anchor moveWithCells="1">
                  <from>
                    <xdr:col>8</xdr:col>
                    <xdr:colOff>0</xdr:colOff>
                    <xdr:row>151</xdr:row>
                    <xdr:rowOff>0</xdr:rowOff>
                  </from>
                  <to>
                    <xdr:col>11</xdr:col>
                    <xdr:colOff>0</xdr:colOff>
                    <xdr:row>152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22" customWidth="1"/>
    <col min="2" max="2" width="13.140625" style="323" customWidth="1"/>
    <col min="3" max="3" width="20.7109375" style="323" customWidth="1"/>
    <col min="4" max="7" width="14.5703125" style="322" customWidth="1"/>
    <col min="8" max="8" width="4.7109375" style="322" customWidth="1"/>
    <col min="9" max="9" width="65.28515625" style="340" customWidth="1"/>
    <col min="10" max="16384" width="11.42578125" style="322"/>
  </cols>
  <sheetData>
    <row r="1" spans="1:9" ht="21.75" customHeight="1" x14ac:dyDescent="0.2">
      <c r="A1" s="320"/>
      <c r="B1" s="50" t="s">
        <v>131</v>
      </c>
      <c r="C1" s="321"/>
      <c r="D1" s="320"/>
      <c r="E1" s="311" t="s">
        <v>132</v>
      </c>
      <c r="F1" s="318" t="s">
        <v>133</v>
      </c>
      <c r="G1" s="319">
        <f>Hauptberechnung!V1</f>
        <v>43159</v>
      </c>
      <c r="H1" s="311"/>
      <c r="I1" s="338" t="s">
        <v>206</v>
      </c>
    </row>
    <row r="2" spans="1:9" ht="12" customHeight="1" x14ac:dyDescent="0.2">
      <c r="B2" s="159" t="str">
        <f>"Anlage zur Kostenbeitragsberechnung "&amp;NameJM&amp;" / "&amp;NamePflichtiger&amp;" für die Zeit ab "&amp;(DAY(KBZeitraumVon)&amp;"."&amp;MONTH(KBZeitraumVon)&amp;"."&amp;YEAR(KBZeitraumVon))</f>
        <v>Anlage zur Kostenbeitragsberechnung Name JM / Name Pflichtige/r für die Zeit ab 0.1.1900</v>
      </c>
      <c r="H2" s="334"/>
      <c r="I2" s="339"/>
    </row>
    <row r="3" spans="1:9" ht="32.1" customHeight="1" x14ac:dyDescent="0.2">
      <c r="H3" s="334"/>
      <c r="I3" s="339" t="s">
        <v>53</v>
      </c>
    </row>
    <row r="4" spans="1:9" ht="22.5" customHeight="1" x14ac:dyDescent="0.2">
      <c r="B4" s="58" t="s">
        <v>338</v>
      </c>
      <c r="H4" s="334"/>
      <c r="I4" s="213"/>
    </row>
    <row r="5" spans="1:9" ht="14.25" x14ac:dyDescent="0.2">
      <c r="B5" s="61" t="s">
        <v>339</v>
      </c>
      <c r="H5" s="334"/>
      <c r="I5" s="213"/>
    </row>
    <row r="6" spans="1:9" ht="8.1" customHeight="1" x14ac:dyDescent="0.2">
      <c r="H6" s="334"/>
      <c r="I6" s="339"/>
    </row>
    <row r="7" spans="1:9" ht="56.25" customHeight="1" x14ac:dyDescent="0.2">
      <c r="B7" s="328" t="s">
        <v>344</v>
      </c>
      <c r="C7" s="328" t="s">
        <v>50</v>
      </c>
      <c r="D7" s="328" t="s">
        <v>46</v>
      </c>
      <c r="E7" s="328" t="s">
        <v>47</v>
      </c>
      <c r="F7" s="328" t="s">
        <v>48</v>
      </c>
      <c r="G7" s="328" t="s">
        <v>49</v>
      </c>
      <c r="H7" s="334"/>
      <c r="I7" s="339"/>
    </row>
    <row r="8" spans="1:9" ht="14.1" customHeight="1" x14ac:dyDescent="0.2">
      <c r="B8" s="324">
        <f>KBParameter!A2</f>
        <v>1</v>
      </c>
      <c r="C8" s="329">
        <f>KBParameter!B2</f>
        <v>1100.99</v>
      </c>
      <c r="D8" s="329">
        <f>KBParameter!C2</f>
        <v>0</v>
      </c>
      <c r="E8" s="329">
        <f>KBParameter!D2</f>
        <v>0</v>
      </c>
      <c r="F8" s="329">
        <f>KBParameter!E2</f>
        <v>0</v>
      </c>
      <c r="G8" s="329">
        <f>KBParameter!F2</f>
        <v>0</v>
      </c>
      <c r="H8" s="334"/>
      <c r="I8" s="339"/>
    </row>
    <row r="9" spans="1:9" ht="14.1" customHeight="1" x14ac:dyDescent="0.2">
      <c r="B9" s="324">
        <f>KBParameter!A3</f>
        <v>2</v>
      </c>
      <c r="C9" s="329">
        <f>KBParameter!B3</f>
        <v>1200.99</v>
      </c>
      <c r="D9" s="329">
        <f>KBParameter!C3</f>
        <v>50</v>
      </c>
      <c r="E9" s="329">
        <f>KBParameter!D3</f>
        <v>0</v>
      </c>
      <c r="F9" s="329">
        <f>KBParameter!E3</f>
        <v>0</v>
      </c>
      <c r="G9" s="329">
        <f>KBParameter!F3</f>
        <v>40</v>
      </c>
      <c r="H9" s="334"/>
      <c r="I9" s="339"/>
    </row>
    <row r="10" spans="1:9" ht="14.1" customHeight="1" x14ac:dyDescent="0.2">
      <c r="B10" s="324">
        <f>KBParameter!A4</f>
        <v>3</v>
      </c>
      <c r="C10" s="329">
        <f>KBParameter!B4</f>
        <v>1300.99</v>
      </c>
      <c r="D10" s="329">
        <f>KBParameter!C4</f>
        <v>130</v>
      </c>
      <c r="E10" s="329">
        <f>KBParameter!D4</f>
        <v>0</v>
      </c>
      <c r="F10" s="329">
        <f>KBParameter!E4</f>
        <v>0</v>
      </c>
      <c r="G10" s="329">
        <f>KBParameter!F4</f>
        <v>50</v>
      </c>
      <c r="H10" s="334"/>
      <c r="I10" s="339"/>
    </row>
    <row r="11" spans="1:9" ht="14.1" customHeight="1" x14ac:dyDescent="0.2">
      <c r="B11" s="324">
        <f>KBParameter!A5</f>
        <v>4</v>
      </c>
      <c r="C11" s="329">
        <f>KBParameter!B5</f>
        <v>1450.99</v>
      </c>
      <c r="D11" s="329">
        <f>KBParameter!C5</f>
        <v>210</v>
      </c>
      <c r="E11" s="329">
        <f>KBParameter!D5</f>
        <v>30</v>
      </c>
      <c r="F11" s="329">
        <f>KBParameter!E5</f>
        <v>0</v>
      </c>
      <c r="G11" s="329">
        <f>KBParameter!F5</f>
        <v>60</v>
      </c>
      <c r="H11" s="334"/>
      <c r="I11" s="339"/>
    </row>
    <row r="12" spans="1:9" ht="14.1" customHeight="1" x14ac:dyDescent="0.2">
      <c r="B12" s="324">
        <f>KBParameter!A6</f>
        <v>5</v>
      </c>
      <c r="C12" s="329">
        <f>KBParameter!B6</f>
        <v>1600.99</v>
      </c>
      <c r="D12" s="329">
        <f>KBParameter!C6</f>
        <v>259</v>
      </c>
      <c r="E12" s="329">
        <f>KBParameter!D6</f>
        <v>60</v>
      </c>
      <c r="F12" s="329">
        <f>KBParameter!E6</f>
        <v>30</v>
      </c>
      <c r="G12" s="329">
        <f>KBParameter!F6</f>
        <v>70</v>
      </c>
      <c r="H12" s="334"/>
      <c r="I12" s="339"/>
    </row>
    <row r="13" spans="1:9" ht="14.1" customHeight="1" x14ac:dyDescent="0.2">
      <c r="B13" s="324">
        <f>KBParameter!A7</f>
        <v>6</v>
      </c>
      <c r="C13" s="329">
        <f>KBParameter!B7</f>
        <v>1800.99</v>
      </c>
      <c r="D13" s="329">
        <f>KBParameter!C7</f>
        <v>289</v>
      </c>
      <c r="E13" s="329">
        <f>KBParameter!D7</f>
        <v>85</v>
      </c>
      <c r="F13" s="329">
        <f>KBParameter!E7</f>
        <v>40</v>
      </c>
      <c r="G13" s="329">
        <f>KBParameter!F7</f>
        <v>85</v>
      </c>
      <c r="H13" s="334"/>
      <c r="I13" s="339"/>
    </row>
    <row r="14" spans="1:9" ht="14.1" customHeight="1" x14ac:dyDescent="0.2">
      <c r="B14" s="324">
        <f>KBParameter!A8</f>
        <v>7</v>
      </c>
      <c r="C14" s="329">
        <f>KBParameter!B8</f>
        <v>2000.99</v>
      </c>
      <c r="D14" s="329">
        <f>KBParameter!C8</f>
        <v>342</v>
      </c>
      <c r="E14" s="329">
        <f>KBParameter!D8</f>
        <v>105</v>
      </c>
      <c r="F14" s="329">
        <f>KBParameter!E8</f>
        <v>50</v>
      </c>
      <c r="G14" s="329">
        <f>KBParameter!F8</f>
        <v>95</v>
      </c>
      <c r="H14" s="334"/>
      <c r="I14" s="339"/>
    </row>
    <row r="15" spans="1:9" ht="14.1" customHeight="1" x14ac:dyDescent="0.2">
      <c r="B15" s="324">
        <f>KBParameter!A9</f>
        <v>8</v>
      </c>
      <c r="C15" s="329">
        <f>KBParameter!B9</f>
        <v>2200.9899999999998</v>
      </c>
      <c r="D15" s="329">
        <f>KBParameter!C9</f>
        <v>378</v>
      </c>
      <c r="E15" s="329">
        <f>KBParameter!D9</f>
        <v>140</v>
      </c>
      <c r="F15" s="329">
        <f>KBParameter!E9</f>
        <v>60</v>
      </c>
      <c r="G15" s="329">
        <f>KBParameter!F9</f>
        <v>105</v>
      </c>
      <c r="H15" s="334"/>
      <c r="I15" s="339"/>
    </row>
    <row r="16" spans="1:9" ht="14.1" customHeight="1" x14ac:dyDescent="0.2">
      <c r="B16" s="324">
        <f>KBParameter!A10</f>
        <v>9</v>
      </c>
      <c r="C16" s="329">
        <f>KBParameter!B10</f>
        <v>2400.9899999999998</v>
      </c>
      <c r="D16" s="329">
        <f>KBParameter!C10</f>
        <v>437</v>
      </c>
      <c r="E16" s="329">
        <f>KBParameter!D10</f>
        <v>175</v>
      </c>
      <c r="F16" s="329">
        <f>KBParameter!E10</f>
        <v>80</v>
      </c>
      <c r="G16" s="329">
        <f>KBParameter!F10</f>
        <v>115</v>
      </c>
      <c r="H16" s="334"/>
      <c r="I16" s="339"/>
    </row>
    <row r="17" spans="2:9" ht="14.1" customHeight="1" x14ac:dyDescent="0.2">
      <c r="B17" s="324">
        <f>KBParameter!A11</f>
        <v>10</v>
      </c>
      <c r="C17" s="329">
        <f>KBParameter!B11</f>
        <v>2700.99</v>
      </c>
      <c r="D17" s="329">
        <f>KBParameter!C11</f>
        <v>510</v>
      </c>
      <c r="E17" s="329">
        <f>KBParameter!D11</f>
        <v>220</v>
      </c>
      <c r="F17" s="329">
        <f>KBParameter!E11</f>
        <v>120</v>
      </c>
      <c r="G17" s="329">
        <f>KBParameter!F11</f>
        <v>130</v>
      </c>
      <c r="H17" s="334"/>
      <c r="I17" s="339"/>
    </row>
    <row r="18" spans="2:9" ht="14.1" customHeight="1" x14ac:dyDescent="0.2">
      <c r="B18" s="324">
        <f>KBParameter!A12</f>
        <v>11</v>
      </c>
      <c r="C18" s="329">
        <f>KBParameter!B12</f>
        <v>3000.99</v>
      </c>
      <c r="D18" s="329">
        <f>KBParameter!C12</f>
        <v>570</v>
      </c>
      <c r="E18" s="329">
        <f>KBParameter!D12</f>
        <v>275</v>
      </c>
      <c r="F18" s="329">
        <f>KBParameter!E12</f>
        <v>165</v>
      </c>
      <c r="G18" s="329">
        <f>KBParameter!F12</f>
        <v>145</v>
      </c>
      <c r="H18" s="334"/>
      <c r="I18" s="339"/>
    </row>
    <row r="19" spans="2:9" ht="14.1" customHeight="1" x14ac:dyDescent="0.2">
      <c r="B19" s="324">
        <f>KBParameter!A13</f>
        <v>12</v>
      </c>
      <c r="C19" s="329">
        <f>KBParameter!B13</f>
        <v>3300.99</v>
      </c>
      <c r="D19" s="329">
        <f>KBParameter!C13</f>
        <v>630</v>
      </c>
      <c r="E19" s="329">
        <f>KBParameter!D13</f>
        <v>335</v>
      </c>
      <c r="F19" s="329">
        <f>KBParameter!E13</f>
        <v>210</v>
      </c>
      <c r="G19" s="329">
        <f>KBParameter!F13</f>
        <v>160</v>
      </c>
      <c r="H19" s="334"/>
      <c r="I19" s="339"/>
    </row>
    <row r="20" spans="2:9" ht="14.1" customHeight="1" x14ac:dyDescent="0.2">
      <c r="B20" s="324">
        <f>KBParameter!A14</f>
        <v>13</v>
      </c>
      <c r="C20" s="329">
        <f>KBParameter!B14</f>
        <v>3600.99</v>
      </c>
      <c r="D20" s="329">
        <f>KBParameter!C14</f>
        <v>725</v>
      </c>
      <c r="E20" s="329">
        <f>KBParameter!D14</f>
        <v>410</v>
      </c>
      <c r="F20" s="329">
        <f>KBParameter!E14</f>
        <v>260</v>
      </c>
      <c r="G20" s="329">
        <f>KBParameter!F14</f>
        <v>175</v>
      </c>
      <c r="H20" s="334"/>
      <c r="I20" s="339"/>
    </row>
    <row r="21" spans="2:9" ht="14.1" customHeight="1" x14ac:dyDescent="0.2">
      <c r="B21" s="324">
        <f>KBParameter!A15</f>
        <v>14</v>
      </c>
      <c r="C21" s="329">
        <f>KBParameter!B15</f>
        <v>3900.99</v>
      </c>
      <c r="D21" s="329">
        <f>KBParameter!C15</f>
        <v>825</v>
      </c>
      <c r="E21" s="329">
        <f>KBParameter!D15</f>
        <v>485</v>
      </c>
      <c r="F21" s="329">
        <f>KBParameter!E15</f>
        <v>320</v>
      </c>
      <c r="G21" s="329">
        <f>KBParameter!F15</f>
        <v>190</v>
      </c>
      <c r="H21" s="334"/>
      <c r="I21" s="339"/>
    </row>
    <row r="22" spans="2:9" ht="14.1" customHeight="1" x14ac:dyDescent="0.2">
      <c r="B22" s="324">
        <f>KBParameter!A16</f>
        <v>15</v>
      </c>
      <c r="C22" s="329">
        <f>KBParameter!B16</f>
        <v>4200.99</v>
      </c>
      <c r="D22" s="329">
        <f>KBParameter!C16</f>
        <v>932</v>
      </c>
      <c r="E22" s="329">
        <f>KBParameter!D16</f>
        <v>560</v>
      </c>
      <c r="F22" s="329">
        <f>KBParameter!E16</f>
        <v>380</v>
      </c>
      <c r="G22" s="329">
        <f>KBParameter!F16</f>
        <v>205</v>
      </c>
      <c r="H22" s="334"/>
      <c r="I22" s="339"/>
    </row>
    <row r="23" spans="2:9" ht="14.1" customHeight="1" x14ac:dyDescent="0.2">
      <c r="B23" s="324">
        <f>KBParameter!A17</f>
        <v>16</v>
      </c>
      <c r="C23" s="329">
        <f>KBParameter!B17</f>
        <v>4600.99</v>
      </c>
      <c r="D23" s="329">
        <f>KBParameter!C17</f>
        <v>1056</v>
      </c>
      <c r="E23" s="329">
        <f>KBParameter!D17</f>
        <v>635</v>
      </c>
      <c r="F23" s="329">
        <f>KBParameter!E17</f>
        <v>440</v>
      </c>
      <c r="G23" s="329">
        <f>KBParameter!F17</f>
        <v>220</v>
      </c>
      <c r="H23" s="334"/>
      <c r="I23" s="339"/>
    </row>
    <row r="24" spans="2:9" ht="14.1" customHeight="1" x14ac:dyDescent="0.2">
      <c r="B24" s="324">
        <f>KBParameter!A18</f>
        <v>17</v>
      </c>
      <c r="C24" s="329">
        <f>KBParameter!B18</f>
        <v>5000.99</v>
      </c>
      <c r="D24" s="329">
        <f>KBParameter!C18</f>
        <v>1152</v>
      </c>
      <c r="E24" s="329">
        <f>KBParameter!D18</f>
        <v>715</v>
      </c>
      <c r="F24" s="329">
        <f>KBParameter!E18</f>
        <v>500</v>
      </c>
      <c r="G24" s="329">
        <f>KBParameter!F18</f>
        <v>240</v>
      </c>
      <c r="H24" s="334"/>
      <c r="I24" s="339"/>
    </row>
    <row r="25" spans="2:9" ht="14.1" customHeight="1" x14ac:dyDescent="0.2">
      <c r="B25" s="324">
        <f>KBParameter!A19</f>
        <v>18</v>
      </c>
      <c r="C25" s="329">
        <f>KBParameter!B19</f>
        <v>5500.99</v>
      </c>
      <c r="D25" s="329">
        <f>KBParameter!C19</f>
        <v>1313</v>
      </c>
      <c r="E25" s="329">
        <f>KBParameter!D19</f>
        <v>790</v>
      </c>
      <c r="F25" s="329">
        <f>KBParameter!E19</f>
        <v>555</v>
      </c>
      <c r="G25" s="329">
        <f>KBParameter!F19</f>
        <v>265</v>
      </c>
      <c r="H25" s="334"/>
      <c r="I25" s="339"/>
    </row>
    <row r="26" spans="2:9" ht="14.1" customHeight="1" x14ac:dyDescent="0.2">
      <c r="B26" s="324">
        <f>KBParameter!A20</f>
        <v>19</v>
      </c>
      <c r="C26" s="329">
        <f>KBParameter!B20</f>
        <v>6000.99</v>
      </c>
      <c r="D26" s="329">
        <f>KBParameter!C20</f>
        <v>1438</v>
      </c>
      <c r="E26" s="329">
        <f>KBParameter!D20</f>
        <v>865</v>
      </c>
      <c r="F26" s="329">
        <f>KBParameter!E20</f>
        <v>605</v>
      </c>
      <c r="G26" s="329">
        <f>KBParameter!F20</f>
        <v>290</v>
      </c>
      <c r="H26" s="334"/>
      <c r="I26" s="339"/>
    </row>
    <row r="27" spans="2:9" ht="14.1" customHeight="1" x14ac:dyDescent="0.2">
      <c r="B27" s="324">
        <f>KBParameter!A21</f>
        <v>20</v>
      </c>
      <c r="C27" s="329">
        <f>KBParameter!B21</f>
        <v>6500.99</v>
      </c>
      <c r="D27" s="329">
        <f>KBParameter!C21</f>
        <v>1563</v>
      </c>
      <c r="E27" s="329">
        <f>KBParameter!D21</f>
        <v>940</v>
      </c>
      <c r="F27" s="329">
        <f>KBParameter!E21</f>
        <v>658</v>
      </c>
      <c r="G27" s="329">
        <f>KBParameter!F21</f>
        <v>315</v>
      </c>
      <c r="H27" s="334"/>
      <c r="I27" s="339"/>
    </row>
    <row r="28" spans="2:9" ht="14.1" customHeight="1" x14ac:dyDescent="0.2">
      <c r="B28" s="324">
        <f>KBParameter!A22</f>
        <v>21</v>
      </c>
      <c r="C28" s="329">
        <f>KBParameter!B22</f>
        <v>7000.99</v>
      </c>
      <c r="D28" s="329">
        <f>KBParameter!C22</f>
        <v>1688</v>
      </c>
      <c r="E28" s="329">
        <f>KBParameter!D22</f>
        <v>1015</v>
      </c>
      <c r="F28" s="329">
        <f>KBParameter!E22</f>
        <v>710</v>
      </c>
      <c r="G28" s="329">
        <f>KBParameter!F22</f>
        <v>340</v>
      </c>
      <c r="H28" s="334"/>
      <c r="I28" s="339"/>
    </row>
    <row r="29" spans="2:9" ht="14.1" customHeight="1" x14ac:dyDescent="0.2">
      <c r="B29" s="324">
        <f>KBParameter!A23</f>
        <v>22</v>
      </c>
      <c r="C29" s="329">
        <f>KBParameter!B23</f>
        <v>7500.99</v>
      </c>
      <c r="D29" s="329">
        <f>KBParameter!C23</f>
        <v>1813</v>
      </c>
      <c r="E29" s="329">
        <f>KBParameter!D23</f>
        <v>1090</v>
      </c>
      <c r="F29" s="329">
        <f>KBParameter!E23</f>
        <v>763</v>
      </c>
      <c r="G29" s="329">
        <f>KBParameter!F23</f>
        <v>365</v>
      </c>
      <c r="H29" s="334"/>
      <c r="I29" s="339"/>
    </row>
    <row r="30" spans="2:9" ht="14.1" customHeight="1" x14ac:dyDescent="0.2">
      <c r="B30" s="324">
        <f>KBParameter!A24</f>
        <v>23</v>
      </c>
      <c r="C30" s="329">
        <f>KBParameter!B24</f>
        <v>8000.99</v>
      </c>
      <c r="D30" s="329">
        <f>KBParameter!C24</f>
        <v>1938</v>
      </c>
      <c r="E30" s="329">
        <f>KBParameter!D24</f>
        <v>1165</v>
      </c>
      <c r="F30" s="329">
        <f>KBParameter!E24</f>
        <v>815</v>
      </c>
      <c r="G30" s="329">
        <f>KBParameter!F24</f>
        <v>390</v>
      </c>
      <c r="H30" s="334"/>
      <c r="I30" s="339"/>
    </row>
    <row r="31" spans="2:9" ht="14.1" customHeight="1" x14ac:dyDescent="0.2">
      <c r="B31" s="324">
        <f>KBParameter!A25</f>
        <v>24</v>
      </c>
      <c r="C31" s="329">
        <f>KBParameter!B25</f>
        <v>8500.99</v>
      </c>
      <c r="D31" s="329">
        <f>KBParameter!C25</f>
        <v>2063</v>
      </c>
      <c r="E31" s="329">
        <f>KBParameter!D25</f>
        <v>1240</v>
      </c>
      <c r="F31" s="329">
        <f>KBParameter!E25</f>
        <v>868</v>
      </c>
      <c r="G31" s="329">
        <f>KBParameter!F25</f>
        <v>415</v>
      </c>
      <c r="H31" s="334"/>
      <c r="I31" s="339"/>
    </row>
    <row r="32" spans="2:9" ht="14.1" customHeight="1" x14ac:dyDescent="0.2">
      <c r="B32" s="324">
        <f>KBParameter!A26</f>
        <v>25</v>
      </c>
      <c r="C32" s="329">
        <f>KBParameter!B26</f>
        <v>9000.99</v>
      </c>
      <c r="D32" s="329">
        <f>KBParameter!C26</f>
        <v>2188</v>
      </c>
      <c r="E32" s="329">
        <f>KBParameter!D26</f>
        <v>1315</v>
      </c>
      <c r="F32" s="329">
        <f>KBParameter!E26</f>
        <v>920</v>
      </c>
      <c r="G32" s="329">
        <f>KBParameter!F26</f>
        <v>440</v>
      </c>
      <c r="H32" s="334"/>
      <c r="I32" s="339"/>
    </row>
    <row r="33" spans="1:9" ht="14.1" customHeight="1" x14ac:dyDescent="0.2">
      <c r="B33" s="324">
        <f>KBParameter!A27</f>
        <v>26</v>
      </c>
      <c r="C33" s="329">
        <f>KBParameter!B27</f>
        <v>9500.99</v>
      </c>
      <c r="D33" s="329">
        <f>KBParameter!C27</f>
        <v>2313</v>
      </c>
      <c r="E33" s="329">
        <f>KBParameter!D27</f>
        <v>1390</v>
      </c>
      <c r="F33" s="329">
        <f>KBParameter!E27</f>
        <v>973</v>
      </c>
      <c r="G33" s="329">
        <f>KBParameter!F27</f>
        <v>465</v>
      </c>
      <c r="H33" s="334"/>
      <c r="I33" s="339"/>
    </row>
    <row r="34" spans="1:9" ht="14.1" customHeight="1" x14ac:dyDescent="0.2">
      <c r="B34" s="324">
        <f>KBParameter!A28</f>
        <v>27</v>
      </c>
      <c r="C34" s="329">
        <f>KBParameter!B28</f>
        <v>10000.99</v>
      </c>
      <c r="D34" s="329">
        <f>KBParameter!C28</f>
        <v>2438</v>
      </c>
      <c r="E34" s="329">
        <f>KBParameter!D28</f>
        <v>1465</v>
      </c>
      <c r="F34" s="329">
        <f>KBParameter!E28</f>
        <v>1025</v>
      </c>
      <c r="G34" s="329">
        <f>KBParameter!F28</f>
        <v>490</v>
      </c>
      <c r="H34" s="334"/>
      <c r="I34" s="339"/>
    </row>
    <row r="35" spans="1:9" ht="14.1" customHeight="1" x14ac:dyDescent="0.2">
      <c r="B35" s="324">
        <v>28</v>
      </c>
      <c r="C35" s="325" t="s">
        <v>51</v>
      </c>
      <c r="D35" s="325" t="s">
        <v>340</v>
      </c>
      <c r="E35" s="325" t="s">
        <v>341</v>
      </c>
      <c r="F35" s="325" t="s">
        <v>342</v>
      </c>
      <c r="G35" s="325" t="s">
        <v>343</v>
      </c>
      <c r="H35" s="334"/>
      <c r="I35" s="339"/>
    </row>
    <row r="36" spans="1:9" s="326" customFormat="1" ht="3.95" customHeight="1" x14ac:dyDescent="0.2">
      <c r="B36" s="327"/>
      <c r="C36" s="327"/>
      <c r="H36" s="335"/>
      <c r="I36" s="339"/>
    </row>
    <row r="37" spans="1:9" s="332" customFormat="1" ht="15.95" customHeight="1" x14ac:dyDescent="0.2">
      <c r="B37" s="330" t="s">
        <v>52</v>
      </c>
      <c r="C37" s="331"/>
      <c r="H37" s="336"/>
      <c r="I37" s="339"/>
    </row>
    <row r="38" spans="1:9" s="332" customFormat="1" ht="3.95" customHeight="1" x14ac:dyDescent="0.2">
      <c r="B38" s="331"/>
      <c r="C38" s="331"/>
      <c r="H38" s="336"/>
      <c r="I38" s="339"/>
    </row>
    <row r="39" spans="1:9" s="333" customFormat="1" ht="291" customHeight="1" x14ac:dyDescent="0.2">
      <c r="A39" s="313"/>
      <c r="B39" s="573" t="s">
        <v>393</v>
      </c>
      <c r="C39" s="573"/>
      <c r="D39" s="573"/>
      <c r="E39" s="573"/>
      <c r="F39" s="573"/>
      <c r="G39" s="573"/>
      <c r="H39" s="337"/>
      <c r="I39" s="339"/>
    </row>
  </sheetData>
  <sheetProtection sheet="1" objects="1" scenarios="1"/>
  <mergeCells count="1">
    <mergeCell ref="B39:G39"/>
  </mergeCells>
  <phoneticPr fontId="2" type="noConversion"/>
  <hyperlinks>
    <hyperlink ref="E1" r:id="rId1" tooltip="www.kostenbeitrag.de - Infos für Jugendämter in Hessen" xr:uid="{00000000-0004-0000-03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3"/>
  </sheetPr>
  <dimension ref="A1:I2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22" customWidth="1"/>
    <col min="2" max="2" width="13.140625" style="323" customWidth="1"/>
    <col min="3" max="3" width="20.7109375" style="323" customWidth="1"/>
    <col min="4" max="7" width="14.5703125" style="322" customWidth="1"/>
    <col min="8" max="8" width="4.7109375" style="322" customWidth="1"/>
    <col min="9" max="9" width="65.28515625" style="340" customWidth="1"/>
    <col min="10" max="16384" width="11.42578125" style="322"/>
  </cols>
  <sheetData>
    <row r="1" spans="1:9" ht="21.75" customHeight="1" x14ac:dyDescent="0.2">
      <c r="A1" s="320"/>
      <c r="B1" s="50" t="s">
        <v>131</v>
      </c>
      <c r="C1" s="321"/>
      <c r="D1" s="320"/>
      <c r="E1" s="311" t="s">
        <v>132</v>
      </c>
      <c r="F1" s="318" t="s">
        <v>133</v>
      </c>
      <c r="G1" s="319">
        <f>Hauptberechnung!V1</f>
        <v>43159</v>
      </c>
      <c r="H1" s="311"/>
      <c r="I1" s="338" t="s">
        <v>206</v>
      </c>
    </row>
    <row r="2" spans="1:9" ht="12" customHeight="1" x14ac:dyDescent="0.2">
      <c r="B2" s="159" t="str">
        <f>"Anlage zur Kostenbeitragsberechnung "&amp;NameJM&amp;" / "&amp;NamePflichtiger&amp;" für die Zeit ab "&amp;(DAY(KBZeitraumVon)&amp;"."&amp;MONTH(KBZeitraumVon)&amp;"."&amp;YEAR(KBZeitraumVon))</f>
        <v>Anlage zur Kostenbeitragsberechnung Name JM / Name Pflichtige/r für die Zeit ab 0.1.1900</v>
      </c>
      <c r="H2" s="334"/>
      <c r="I2" s="339"/>
    </row>
    <row r="3" spans="1:9" ht="32.1" customHeight="1" x14ac:dyDescent="0.2">
      <c r="H3" s="334"/>
      <c r="I3" s="339" t="s">
        <v>53</v>
      </c>
    </row>
    <row r="4" spans="1:9" ht="22.5" customHeight="1" x14ac:dyDescent="0.2">
      <c r="B4" s="58" t="s">
        <v>54</v>
      </c>
      <c r="H4" s="334"/>
      <c r="I4" s="213"/>
    </row>
    <row r="5" spans="1:9" ht="14.25" x14ac:dyDescent="0.2">
      <c r="B5" s="61"/>
      <c r="H5" s="334"/>
      <c r="I5" s="213"/>
    </row>
    <row r="6" spans="1:9" ht="8.1" customHeight="1" x14ac:dyDescent="0.2">
      <c r="H6" s="334"/>
      <c r="I6" s="339"/>
    </row>
    <row r="7" spans="1:9" ht="56.25" customHeight="1" x14ac:dyDescent="0.2">
      <c r="B7" s="328" t="s">
        <v>344</v>
      </c>
      <c r="C7" s="328" t="s">
        <v>55</v>
      </c>
      <c r="D7" s="328" t="s">
        <v>56</v>
      </c>
      <c r="E7" s="328" t="s">
        <v>57</v>
      </c>
      <c r="F7" s="328" t="s">
        <v>59</v>
      </c>
      <c r="G7" s="328" t="s">
        <v>58</v>
      </c>
      <c r="H7" s="334"/>
      <c r="I7" s="339"/>
    </row>
    <row r="8" spans="1:9" ht="15.95" customHeight="1" x14ac:dyDescent="0.2">
      <c r="B8" s="324">
        <f>DTParameter!A2</f>
        <v>1</v>
      </c>
      <c r="C8" s="329">
        <f>DTParameter!B2</f>
        <v>1500</v>
      </c>
      <c r="D8" s="329">
        <f>DTParameter!C2</f>
        <v>342</v>
      </c>
      <c r="E8" s="329">
        <f>DTParameter!D2</f>
        <v>393</v>
      </c>
      <c r="F8" s="329">
        <f>DTParameter!E2</f>
        <v>460</v>
      </c>
      <c r="G8" s="329">
        <f>DTParameter!F2</f>
        <v>527</v>
      </c>
      <c r="H8" s="334"/>
      <c r="I8" s="339"/>
    </row>
    <row r="9" spans="1:9" ht="15.95" customHeight="1" x14ac:dyDescent="0.2">
      <c r="B9" s="324">
        <f>DTParameter!A3</f>
        <v>2</v>
      </c>
      <c r="C9" s="329">
        <f>DTParameter!B3</f>
        <v>1900</v>
      </c>
      <c r="D9" s="329">
        <f>DTParameter!C3</f>
        <v>360</v>
      </c>
      <c r="E9" s="329">
        <f>DTParameter!D3</f>
        <v>413</v>
      </c>
      <c r="F9" s="329">
        <f>DTParameter!E3</f>
        <v>483</v>
      </c>
      <c r="G9" s="329">
        <f>DTParameter!F3</f>
        <v>554</v>
      </c>
      <c r="H9" s="334"/>
      <c r="I9" s="339"/>
    </row>
    <row r="10" spans="1:9" ht="15.95" customHeight="1" x14ac:dyDescent="0.2">
      <c r="B10" s="324">
        <f>DTParameter!A4</f>
        <v>3</v>
      </c>
      <c r="C10" s="329">
        <f>DTParameter!B4</f>
        <v>2300</v>
      </c>
      <c r="D10" s="329">
        <f>DTParameter!C4</f>
        <v>377</v>
      </c>
      <c r="E10" s="329">
        <f>DTParameter!D4</f>
        <v>433</v>
      </c>
      <c r="F10" s="329">
        <f>DTParameter!E4</f>
        <v>506</v>
      </c>
      <c r="G10" s="329">
        <f>DTParameter!F4</f>
        <v>580</v>
      </c>
      <c r="H10" s="334"/>
      <c r="I10" s="339"/>
    </row>
    <row r="11" spans="1:9" ht="15.95" customHeight="1" x14ac:dyDescent="0.2">
      <c r="B11" s="324">
        <f>DTParameter!A5</f>
        <v>4</v>
      </c>
      <c r="C11" s="329">
        <f>DTParameter!B5</f>
        <v>2700</v>
      </c>
      <c r="D11" s="329">
        <f>DTParameter!C5</f>
        <v>394</v>
      </c>
      <c r="E11" s="329">
        <f>DTParameter!D5</f>
        <v>452</v>
      </c>
      <c r="F11" s="329">
        <f>DTParameter!E5</f>
        <v>529</v>
      </c>
      <c r="G11" s="329">
        <f>DTParameter!F5</f>
        <v>607</v>
      </c>
      <c r="H11" s="334"/>
      <c r="I11" s="339"/>
    </row>
    <row r="12" spans="1:9" ht="15.95" customHeight="1" x14ac:dyDescent="0.2">
      <c r="B12" s="324">
        <f>DTParameter!A6</f>
        <v>5</v>
      </c>
      <c r="C12" s="329">
        <f>DTParameter!B6</f>
        <v>3100</v>
      </c>
      <c r="D12" s="329">
        <f>DTParameter!C6</f>
        <v>411</v>
      </c>
      <c r="E12" s="329">
        <f>DTParameter!D6</f>
        <v>472</v>
      </c>
      <c r="F12" s="329">
        <f>DTParameter!E6</f>
        <v>552</v>
      </c>
      <c r="G12" s="329">
        <f>DTParameter!F6</f>
        <v>633</v>
      </c>
      <c r="H12" s="334"/>
      <c r="I12" s="339"/>
    </row>
    <row r="13" spans="1:9" ht="15.95" customHeight="1" x14ac:dyDescent="0.2">
      <c r="B13" s="324">
        <f>DTParameter!A7</f>
        <v>6</v>
      </c>
      <c r="C13" s="329">
        <f>DTParameter!B7</f>
        <v>3500</v>
      </c>
      <c r="D13" s="329">
        <f>DTParameter!C7</f>
        <v>438</v>
      </c>
      <c r="E13" s="329">
        <f>DTParameter!D7</f>
        <v>504</v>
      </c>
      <c r="F13" s="329">
        <f>DTParameter!E7</f>
        <v>589</v>
      </c>
      <c r="G13" s="329">
        <f>DTParameter!F7</f>
        <v>675</v>
      </c>
      <c r="H13" s="334"/>
      <c r="I13" s="339"/>
    </row>
    <row r="14" spans="1:9" ht="15.95" customHeight="1" x14ac:dyDescent="0.2">
      <c r="B14" s="324">
        <f>DTParameter!A8</f>
        <v>7</v>
      </c>
      <c r="C14" s="329">
        <f>DTParameter!B8</f>
        <v>3900</v>
      </c>
      <c r="D14" s="329">
        <f>DTParameter!C8</f>
        <v>466</v>
      </c>
      <c r="E14" s="329">
        <f>DTParameter!D8</f>
        <v>535</v>
      </c>
      <c r="F14" s="329">
        <f>DTParameter!E8</f>
        <v>626</v>
      </c>
      <c r="G14" s="329">
        <f>DTParameter!F8</f>
        <v>717</v>
      </c>
      <c r="H14" s="334"/>
      <c r="I14" s="339"/>
    </row>
    <row r="15" spans="1:9" ht="15.95" customHeight="1" x14ac:dyDescent="0.2">
      <c r="B15" s="324">
        <f>DTParameter!A9</f>
        <v>8</v>
      </c>
      <c r="C15" s="329">
        <f>DTParameter!B9</f>
        <v>4300</v>
      </c>
      <c r="D15" s="329">
        <f>DTParameter!C9</f>
        <v>493</v>
      </c>
      <c r="E15" s="329">
        <f>DTParameter!D9</f>
        <v>566</v>
      </c>
      <c r="F15" s="329">
        <f>DTParameter!E9</f>
        <v>663</v>
      </c>
      <c r="G15" s="329">
        <f>DTParameter!F9</f>
        <v>759</v>
      </c>
      <c r="H15" s="334"/>
      <c r="I15" s="339"/>
    </row>
    <row r="16" spans="1:9" ht="15.95" customHeight="1" x14ac:dyDescent="0.2">
      <c r="B16" s="324">
        <f>DTParameter!A10</f>
        <v>9</v>
      </c>
      <c r="C16" s="329">
        <f>DTParameter!B10</f>
        <v>4700</v>
      </c>
      <c r="D16" s="329">
        <f>DTParameter!C10</f>
        <v>520</v>
      </c>
      <c r="E16" s="329">
        <f>DTParameter!D10</f>
        <v>598</v>
      </c>
      <c r="F16" s="329">
        <f>DTParameter!E10</f>
        <v>700</v>
      </c>
      <c r="G16" s="329">
        <f>DTParameter!F10</f>
        <v>802</v>
      </c>
      <c r="H16" s="334"/>
      <c r="I16" s="339"/>
    </row>
    <row r="17" spans="2:9" ht="15.95" customHeight="1" x14ac:dyDescent="0.2">
      <c r="B17" s="324">
        <f>DTParameter!A11</f>
        <v>10</v>
      </c>
      <c r="C17" s="329">
        <f>DTParameter!B11</f>
        <v>5100</v>
      </c>
      <c r="D17" s="329">
        <f>DTParameter!C11</f>
        <v>548</v>
      </c>
      <c r="E17" s="329">
        <f>DTParameter!D11</f>
        <v>629</v>
      </c>
      <c r="F17" s="329">
        <f>DTParameter!E11</f>
        <v>736</v>
      </c>
      <c r="G17" s="329">
        <f>DTParameter!F11</f>
        <v>844</v>
      </c>
      <c r="H17" s="334"/>
      <c r="I17" s="339"/>
    </row>
    <row r="18" spans="2:9" ht="15.95" customHeight="1" x14ac:dyDescent="0.2">
      <c r="B18" s="324">
        <f>DTParameter!A12</f>
        <v>11</v>
      </c>
      <c r="C18" s="329" t="str">
        <f>"über " &amp;C17 &amp;" €"</f>
        <v>über 5100 €</v>
      </c>
      <c r="D18" s="574" t="s">
        <v>347</v>
      </c>
      <c r="E18" s="575"/>
      <c r="F18" s="575"/>
      <c r="G18" s="576"/>
      <c r="H18" s="334"/>
      <c r="I18" s="339"/>
    </row>
    <row r="19" spans="2:9" s="326" customFormat="1" ht="15.95" customHeight="1" x14ac:dyDescent="0.2">
      <c r="B19" s="327"/>
      <c r="C19" s="327"/>
      <c r="H19" s="335"/>
      <c r="I19" s="339"/>
    </row>
    <row r="20" spans="2:9" s="332" customFormat="1" ht="15.95" customHeight="1" x14ac:dyDescent="0.2">
      <c r="B20" s="341" t="s">
        <v>345</v>
      </c>
      <c r="C20" s="331"/>
      <c r="H20" s="336"/>
      <c r="I20" s="339"/>
    </row>
    <row r="21" spans="2:9" s="332" customFormat="1" ht="15.95" customHeight="1" x14ac:dyDescent="0.2">
      <c r="B21" s="342"/>
      <c r="C21" s="331"/>
      <c r="H21" s="336"/>
      <c r="I21" s="339"/>
    </row>
    <row r="22" spans="2:9" ht="15.95" customHeight="1" x14ac:dyDescent="0.2">
      <c r="B22" s="343" t="s">
        <v>348</v>
      </c>
      <c r="H22" s="334"/>
      <c r="I22" s="339"/>
    </row>
    <row r="23" spans="2:9" ht="15.95" customHeight="1" x14ac:dyDescent="0.2">
      <c r="B23" s="343" t="s">
        <v>349</v>
      </c>
      <c r="H23" s="334"/>
      <c r="I23" s="339"/>
    </row>
    <row r="24" spans="2:9" ht="15.95" customHeight="1" x14ac:dyDescent="0.2">
      <c r="B24" s="343" t="s">
        <v>350</v>
      </c>
      <c r="H24" s="334"/>
      <c r="I24" s="339"/>
    </row>
    <row r="25" spans="2:9" ht="15.95" customHeight="1" x14ac:dyDescent="0.2">
      <c r="B25" s="343" t="s">
        <v>351</v>
      </c>
      <c r="H25" s="334"/>
      <c r="I25" s="339"/>
    </row>
    <row r="26" spans="2:9" ht="15.95" customHeight="1" x14ac:dyDescent="0.2">
      <c r="B26" s="343"/>
      <c r="H26" s="334"/>
      <c r="I26" s="339"/>
    </row>
    <row r="27" spans="2:9" ht="15.95" customHeight="1" x14ac:dyDescent="0.2">
      <c r="B27" s="343" t="s">
        <v>346</v>
      </c>
      <c r="H27" s="334"/>
      <c r="I27" s="339"/>
    </row>
    <row r="28" spans="2:9" ht="15.95" customHeight="1" x14ac:dyDescent="0.2"/>
    <row r="29" spans="2:9" ht="15.95" customHeight="1" x14ac:dyDescent="0.2"/>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xr:uid="{00000000-0004-0000-04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pageSetUpPr fitToPage="1"/>
  </sheetPr>
  <dimension ref="A1:E140"/>
  <sheetViews>
    <sheetView workbookViewId="0">
      <pane ySplit="1" topLeftCell="A36" activePane="bottomLeft" state="frozenSplit"/>
      <selection activeCell="K9" sqref="K9:M9"/>
      <selection pane="bottomLeft" activeCell="A40" sqref="A40"/>
    </sheetView>
  </sheetViews>
  <sheetFormatPr baseColWidth="10" defaultRowHeight="18" customHeight="1" x14ac:dyDescent="0.2"/>
  <cols>
    <col min="1" max="1" width="8.7109375" style="4" bestFit="1" customWidth="1"/>
    <col min="2" max="2" width="59.4257812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x14ac:dyDescent="0.2">
      <c r="A1" s="3" t="s">
        <v>194</v>
      </c>
      <c r="B1" s="2" t="s">
        <v>120</v>
      </c>
      <c r="C1" s="3" t="s">
        <v>125</v>
      </c>
      <c r="D1" s="3" t="s">
        <v>124</v>
      </c>
      <c r="E1" s="3" t="s">
        <v>123</v>
      </c>
    </row>
    <row r="2" spans="1:5" s="2" customFormat="1" ht="18" customHeight="1" x14ac:dyDescent="0.2">
      <c r="A2" s="13">
        <v>1</v>
      </c>
      <c r="B2" s="2" t="s">
        <v>122</v>
      </c>
      <c r="C2" s="3"/>
      <c r="D2" s="3"/>
      <c r="E2" s="3"/>
    </row>
    <row r="3" spans="1:5" ht="18" customHeight="1" x14ac:dyDescent="0.2">
      <c r="A3" s="4">
        <v>1</v>
      </c>
      <c r="B3" s="1" t="s">
        <v>121</v>
      </c>
      <c r="C3" s="4" t="s">
        <v>137</v>
      </c>
      <c r="D3" s="6" t="s">
        <v>137</v>
      </c>
      <c r="E3" s="6" t="s">
        <v>137</v>
      </c>
    </row>
    <row r="4" spans="1:5" ht="18" customHeight="1" x14ac:dyDescent="0.2">
      <c r="A4" s="4">
        <v>2</v>
      </c>
      <c r="B4" s="1" t="s">
        <v>136</v>
      </c>
      <c r="C4" s="4" t="str">
        <f>IF(KBZeitraumVon&lt;&gt;"","im Kalenderjahr "&amp;YEAR(KBZeitraumVon)-1,"")</f>
        <v/>
      </c>
      <c r="D4" s="6" t="str">
        <f>IF(KBZeitraumVon&lt;&gt;"",DATE(YEAR(KBZeitraumVon)-1,1,1),"")</f>
        <v/>
      </c>
      <c r="E4" s="6" t="str">
        <f>IF(KBZeitraumVon&lt;&gt;"",DATE(YEAR(KBZeitraumVon)-1,12,31),"")</f>
        <v/>
      </c>
    </row>
    <row r="5" spans="1:5" ht="18" customHeight="1" x14ac:dyDescent="0.2">
      <c r="A5" s="4">
        <v>3</v>
      </c>
      <c r="B5" s="382" t="s">
        <v>371</v>
      </c>
      <c r="C5" s="4" t="str">
        <f>IF(KBZeitraumVon&lt;&gt;"","im Leistungsjahr " &amp; YEAR(KBZeitraumVon),"")</f>
        <v/>
      </c>
      <c r="D5" s="6" t="str">
        <f>IF(KBZeitraumVon&lt;&gt;"",DATE(YEAR(KBZeitraumVon),1,1),"")</f>
        <v/>
      </c>
      <c r="E5" s="6" t="str">
        <f>IF(KBZeitraumVon&lt;&gt;"",DATE(YEAR(KBZeitraumVon),12,31),"")</f>
        <v/>
      </c>
    </row>
    <row r="6" spans="1:5" ht="18" customHeight="1" x14ac:dyDescent="0.2">
      <c r="A6" s="4">
        <v>4</v>
      </c>
      <c r="B6" s="382" t="s">
        <v>372</v>
      </c>
      <c r="C6" s="4" t="str">
        <f>"bei Vorliegen von Härtefallgründen"</f>
        <v>bei Vorliegen von Härtefallgründen</v>
      </c>
      <c r="D6" s="4" t="s">
        <v>126</v>
      </c>
      <c r="E6" s="4" t="s">
        <v>126</v>
      </c>
    </row>
    <row r="9" spans="1:5" ht="18" customHeight="1" x14ac:dyDescent="0.2">
      <c r="A9" s="14">
        <v>1</v>
      </c>
      <c r="B9" s="15" t="s">
        <v>165</v>
      </c>
      <c r="C9" s="16"/>
    </row>
    <row r="10" spans="1:5" ht="18" customHeight="1" x14ac:dyDescent="0.2">
      <c r="A10" s="17">
        <v>1</v>
      </c>
      <c r="B10" s="18" t="s">
        <v>121</v>
      </c>
      <c r="C10" s="19" t="s">
        <v>207</v>
      </c>
    </row>
    <row r="11" spans="1:5" ht="18" customHeight="1" x14ac:dyDescent="0.2">
      <c r="A11" s="17">
        <v>2</v>
      </c>
      <c r="B11" s="18" t="s">
        <v>166</v>
      </c>
      <c r="C11" s="19">
        <v>0</v>
      </c>
    </row>
    <row r="12" spans="1:5" ht="18" customHeight="1" x14ac:dyDescent="0.2">
      <c r="A12" s="17">
        <v>3</v>
      </c>
      <c r="B12" s="18" t="s">
        <v>167</v>
      </c>
      <c r="C12" s="19">
        <v>0</v>
      </c>
    </row>
    <row r="13" spans="1:5" ht="18" customHeight="1" x14ac:dyDescent="0.2">
      <c r="A13" s="17">
        <v>4</v>
      </c>
      <c r="B13" s="18" t="str">
        <f>"ist mit 1/12 von "&amp;Hauptberechnung!U46&amp;" € zu berücksichtigen"</f>
        <v>ist mit 1/12 von 0 € zu berücksichtigen</v>
      </c>
      <c r="C13" s="19">
        <f>1/12*Hauptberechnung!U46</f>
        <v>0</v>
      </c>
    </row>
    <row r="14" spans="1:5" ht="18" customHeight="1" x14ac:dyDescent="0.2">
      <c r="A14" s="17">
        <v>5</v>
      </c>
      <c r="B14" s="18" t="s">
        <v>192</v>
      </c>
      <c r="C14" s="19">
        <v>0</v>
      </c>
    </row>
    <row r="17" spans="1:5" ht="18" customHeight="1" x14ac:dyDescent="0.2">
      <c r="A17" s="14">
        <v>1</v>
      </c>
      <c r="B17" s="15" t="s">
        <v>168</v>
      </c>
      <c r="C17" s="16"/>
    </row>
    <row r="18" spans="1:5" ht="18" customHeight="1" x14ac:dyDescent="0.2">
      <c r="A18" s="17">
        <v>1</v>
      </c>
      <c r="B18" s="18" t="s">
        <v>121</v>
      </c>
      <c r="C18" s="19" t="s">
        <v>207</v>
      </c>
    </row>
    <row r="19" spans="1:5" ht="18" customHeight="1" x14ac:dyDescent="0.2">
      <c r="A19" s="17">
        <v>2</v>
      </c>
      <c r="B19" s="18" t="s">
        <v>166</v>
      </c>
      <c r="C19" s="19">
        <v>0</v>
      </c>
    </row>
    <row r="20" spans="1:5" ht="18" customHeight="1" x14ac:dyDescent="0.2">
      <c r="A20" s="17">
        <v>3</v>
      </c>
      <c r="B20" s="18" t="s">
        <v>167</v>
      </c>
      <c r="C20" s="19">
        <v>0</v>
      </c>
    </row>
    <row r="21" spans="1:5" ht="18" customHeight="1" x14ac:dyDescent="0.2">
      <c r="A21" s="17">
        <v>4</v>
      </c>
      <c r="B21" s="18" t="str">
        <f>"ist mit 1/40 von " &amp;Hauptberechnung!U46 &amp; " € zu berücksichtigen"</f>
        <v>ist mit 1/40 von 0 € zu berücksichtigen</v>
      </c>
      <c r="C21" s="19">
        <f>1/40*Hauptberechnung!U46</f>
        <v>0</v>
      </c>
    </row>
    <row r="22" spans="1:5" ht="18" customHeight="1" x14ac:dyDescent="0.2">
      <c r="A22" s="17">
        <v>5</v>
      </c>
      <c r="B22" s="18" t="s">
        <v>192</v>
      </c>
      <c r="C22" s="19">
        <v>0</v>
      </c>
    </row>
    <row r="25" spans="1:5" ht="18" customHeight="1" x14ac:dyDescent="0.2">
      <c r="A25" s="14">
        <v>1</v>
      </c>
      <c r="B25" s="15" t="s">
        <v>107</v>
      </c>
      <c r="C25" s="16"/>
    </row>
    <row r="26" spans="1:5" ht="18" customHeight="1" x14ac:dyDescent="0.2">
      <c r="A26" s="17">
        <v>1</v>
      </c>
      <c r="B26" s="18" t="s">
        <v>121</v>
      </c>
      <c r="C26" s="19" t="s">
        <v>196</v>
      </c>
      <c r="D26" s="5" t="s">
        <v>137</v>
      </c>
    </row>
    <row r="27" spans="1:5" ht="18" customHeight="1" x14ac:dyDescent="0.2">
      <c r="A27" s="17">
        <v>2</v>
      </c>
      <c r="B27" s="18" t="s">
        <v>109</v>
      </c>
      <c r="C27" s="19">
        <v>0</v>
      </c>
      <c r="D27" s="5">
        <v>1</v>
      </c>
      <c r="E27" s="4" t="s">
        <v>219</v>
      </c>
    </row>
    <row r="28" spans="1:5" ht="18" customHeight="1" x14ac:dyDescent="0.2">
      <c r="A28" s="17">
        <v>3</v>
      </c>
      <c r="B28" s="18" t="s">
        <v>110</v>
      </c>
      <c r="C28" s="19">
        <v>0</v>
      </c>
      <c r="D28" s="5">
        <v>2</v>
      </c>
      <c r="E28" s="4" t="s">
        <v>221</v>
      </c>
    </row>
    <row r="29" spans="1:5" ht="18" customHeight="1" x14ac:dyDescent="0.2">
      <c r="A29" s="17">
        <v>4</v>
      </c>
      <c r="B29" s="18" t="s">
        <v>111</v>
      </c>
      <c r="C29" s="19">
        <f>1/40*Hauptberechnung!U55</f>
        <v>0</v>
      </c>
      <c r="D29" s="5">
        <v>3</v>
      </c>
      <c r="E29" s="4" t="s">
        <v>222</v>
      </c>
    </row>
    <row r="30" spans="1:5" ht="18" customHeight="1" x14ac:dyDescent="0.2">
      <c r="A30" s="17">
        <v>5</v>
      </c>
      <c r="B30" s="18" t="s">
        <v>108</v>
      </c>
      <c r="C30" s="19">
        <v>0</v>
      </c>
      <c r="D30" s="5">
        <v>4</v>
      </c>
      <c r="E30" s="4" t="s">
        <v>220</v>
      </c>
    </row>
    <row r="33" spans="1:4" ht="18" customHeight="1" x14ac:dyDescent="0.2">
      <c r="A33" s="14">
        <v>1</v>
      </c>
      <c r="B33" s="15" t="s">
        <v>116</v>
      </c>
    </row>
    <row r="34" spans="1:4" ht="18" customHeight="1" x14ac:dyDescent="0.2">
      <c r="A34" s="17">
        <v>1</v>
      </c>
      <c r="B34" s="18" t="s">
        <v>121</v>
      </c>
    </row>
    <row r="35" spans="1:4" ht="18" customHeight="1" x14ac:dyDescent="0.2">
      <c r="A35" s="17">
        <v>2</v>
      </c>
      <c r="B35" s="18" t="s">
        <v>379</v>
      </c>
    </row>
    <row r="36" spans="1:4" ht="18" customHeight="1" x14ac:dyDescent="0.2">
      <c r="A36" s="17">
        <v>3</v>
      </c>
      <c r="B36" s="18" t="s">
        <v>380</v>
      </c>
    </row>
    <row r="37" spans="1:4" ht="18" customHeight="1" x14ac:dyDescent="0.2">
      <c r="A37" s="17"/>
      <c r="B37" s="18"/>
    </row>
    <row r="40" spans="1:4" ht="18" customHeight="1" x14ac:dyDescent="0.2">
      <c r="B40" s="140" t="s">
        <v>92</v>
      </c>
      <c r="C40" s="140"/>
      <c r="D40" s="140"/>
    </row>
    <row r="41" spans="1:4" ht="18" customHeight="1" x14ac:dyDescent="0.25">
      <c r="A41" s="370">
        <v>1</v>
      </c>
      <c r="B41" s="142">
        <v>0</v>
      </c>
      <c r="C41" s="375">
        <v>0</v>
      </c>
      <c r="D41" s="375" t="s">
        <v>137</v>
      </c>
    </row>
    <row r="42" spans="1:4" ht="18" customHeight="1" x14ac:dyDescent="0.25">
      <c r="A42" s="370">
        <v>2</v>
      </c>
      <c r="B42" s="142" t="str">
        <f>"1.Kind: " &amp; KGKind1 &amp; " €"</f>
        <v>1.Kind: 192 €</v>
      </c>
      <c r="C42" s="375">
        <f>-KGKind1</f>
        <v>-192</v>
      </c>
      <c r="D42" s="141" t="s">
        <v>19</v>
      </c>
    </row>
    <row r="43" spans="1:4" ht="18" customHeight="1" x14ac:dyDescent="0.25">
      <c r="A43" s="370">
        <v>3</v>
      </c>
      <c r="B43" s="142" t="str">
        <f>"2.Kind: " &amp; KGKind2 &amp; " €"</f>
        <v>2.Kind: 192 €</v>
      </c>
      <c r="C43" s="375">
        <f>-KGKind2</f>
        <v>-192</v>
      </c>
      <c r="D43" s="141" t="s">
        <v>20</v>
      </c>
    </row>
    <row r="44" spans="1:4" ht="18" customHeight="1" x14ac:dyDescent="0.25">
      <c r="A44" s="370">
        <v>4</v>
      </c>
      <c r="B44" s="142" t="str">
        <f>"3.Kind: " &amp; KGKind3 &amp; " €"</f>
        <v>3.Kind: 198 €</v>
      </c>
      <c r="C44" s="375">
        <f>-KGKind3</f>
        <v>-198</v>
      </c>
      <c r="D44" s="141" t="s">
        <v>21</v>
      </c>
    </row>
    <row r="45" spans="1:4" ht="18" customHeight="1" x14ac:dyDescent="0.25">
      <c r="A45" s="370">
        <v>5</v>
      </c>
      <c r="B45" s="142" t="str">
        <f>"w.Kind: " &amp; KGKind4 &amp; " €"</f>
        <v>w.Kind: 223 €</v>
      </c>
      <c r="C45" s="375">
        <f>-KGKind4</f>
        <v>-223</v>
      </c>
      <c r="D45" s="141" t="s">
        <v>18</v>
      </c>
    </row>
    <row r="46" spans="1:4" ht="18" customHeight="1" x14ac:dyDescent="0.25">
      <c r="A46" s="370">
        <v>6</v>
      </c>
      <c r="B46" s="142" t="str">
        <f>"1.Kind " &amp; KGKind1/2 &amp; " €"</f>
        <v>1.Kind 96 €</v>
      </c>
      <c r="C46" s="375">
        <f>-KGKind1/2</f>
        <v>-96</v>
      </c>
      <c r="D46" s="141" t="s">
        <v>19</v>
      </c>
    </row>
    <row r="47" spans="1:4" ht="18" customHeight="1" x14ac:dyDescent="0.25">
      <c r="A47" s="370">
        <v>7</v>
      </c>
      <c r="B47" s="142" t="str">
        <f>"2.Kind " &amp; KGKind2/2 &amp; " €"</f>
        <v>2.Kind 96 €</v>
      </c>
      <c r="C47" s="375">
        <f>-KGKind2/2</f>
        <v>-96</v>
      </c>
      <c r="D47" s="141" t="s">
        <v>20</v>
      </c>
    </row>
    <row r="48" spans="1:4" ht="18" customHeight="1" x14ac:dyDescent="0.25">
      <c r="A48" s="370">
        <v>8</v>
      </c>
      <c r="B48" s="142" t="str">
        <f>"3.Kind " &amp; KGKind3/2 &amp; " €"</f>
        <v>3.Kind 99 €</v>
      </c>
      <c r="C48" s="375">
        <f>-KGKind3/2</f>
        <v>-99</v>
      </c>
      <c r="D48" s="141" t="s">
        <v>21</v>
      </c>
    </row>
    <row r="49" spans="1:4" ht="18" customHeight="1" x14ac:dyDescent="0.25">
      <c r="A49" s="370">
        <v>9</v>
      </c>
      <c r="B49" s="142" t="str">
        <f>"w.Kind " &amp; KGKind4/2 &amp; " €"</f>
        <v>w.Kind 111,5 €</v>
      </c>
      <c r="C49" s="375">
        <f>-KGKind4/2</f>
        <v>-111.5</v>
      </c>
      <c r="D49" s="141" t="s">
        <v>18</v>
      </c>
    </row>
    <row r="50" spans="1:4" ht="18" customHeight="1" x14ac:dyDescent="0.2">
      <c r="A50" s="141"/>
      <c r="B50" s="141"/>
      <c r="C50" s="141"/>
      <c r="D50" s="141"/>
    </row>
    <row r="51" spans="1:4" ht="18" customHeight="1" x14ac:dyDescent="0.2">
      <c r="A51" s="140" t="s">
        <v>90</v>
      </c>
      <c r="B51" s="140"/>
      <c r="C51" s="141"/>
      <c r="D51" s="141"/>
    </row>
    <row r="52" spans="1:4" ht="18" customHeight="1" x14ac:dyDescent="0.2">
      <c r="A52" s="143" t="s">
        <v>93</v>
      </c>
      <c r="B52" s="141">
        <v>1</v>
      </c>
      <c r="C52" s="141"/>
      <c r="D52" s="141"/>
    </row>
    <row r="53" spans="1:4" ht="18" customHeight="1" x14ac:dyDescent="0.2">
      <c r="A53" s="143" t="s">
        <v>94</v>
      </c>
      <c r="B53" s="141">
        <v>1</v>
      </c>
      <c r="C53" s="141"/>
      <c r="D53" s="141"/>
    </row>
    <row r="54" spans="1:4" ht="18" customHeight="1" x14ac:dyDescent="0.2">
      <c r="A54" s="143" t="s">
        <v>95</v>
      </c>
      <c r="B54" s="141">
        <v>1</v>
      </c>
      <c r="C54" s="141"/>
      <c r="D54" s="141"/>
    </row>
    <row r="55" spans="1:4" ht="18" customHeight="1" x14ac:dyDescent="0.2">
      <c r="A55" s="143" t="s">
        <v>96</v>
      </c>
      <c r="B55" s="141">
        <v>1</v>
      </c>
      <c r="C55" s="141"/>
      <c r="D55" s="141"/>
    </row>
    <row r="56" spans="1:4" ht="18" customHeight="1" x14ac:dyDescent="0.2">
      <c r="A56" s="143" t="s">
        <v>97</v>
      </c>
      <c r="B56" s="141">
        <v>1</v>
      </c>
      <c r="C56" s="141"/>
      <c r="D56" s="141"/>
    </row>
    <row r="57" spans="1:4" ht="18" customHeight="1" x14ac:dyDescent="0.2">
      <c r="A57" s="143" t="s">
        <v>98</v>
      </c>
      <c r="B57" s="141">
        <v>1</v>
      </c>
      <c r="C57" s="141"/>
      <c r="D57" s="141"/>
    </row>
    <row r="58" spans="1:4" ht="18" customHeight="1" x14ac:dyDescent="0.2">
      <c r="A58" s="143" t="s">
        <v>99</v>
      </c>
      <c r="B58" s="141">
        <v>1</v>
      </c>
      <c r="C58" s="141"/>
      <c r="D58" s="141"/>
    </row>
    <row r="59" spans="1:4" ht="18" customHeight="1" x14ac:dyDescent="0.2">
      <c r="A59" s="143" t="s">
        <v>100</v>
      </c>
      <c r="B59" s="141">
        <v>1</v>
      </c>
      <c r="C59" s="141"/>
      <c r="D59" s="141"/>
    </row>
    <row r="60" spans="1:4" ht="18" customHeight="1" x14ac:dyDescent="0.2">
      <c r="A60" s="143" t="s">
        <v>101</v>
      </c>
      <c r="B60" s="141">
        <v>1</v>
      </c>
      <c r="C60" s="141"/>
      <c r="D60" s="141"/>
    </row>
    <row r="61" spans="1:4" ht="18" customHeight="1" x14ac:dyDescent="0.2">
      <c r="A61" s="143" t="s">
        <v>102</v>
      </c>
      <c r="B61" s="141">
        <v>1</v>
      </c>
      <c r="C61" s="141"/>
      <c r="D61" s="141"/>
    </row>
    <row r="63" spans="1:4" ht="18" customHeight="1" x14ac:dyDescent="0.2">
      <c r="A63" s="226">
        <v>1</v>
      </c>
      <c r="B63" s="227" t="s">
        <v>318</v>
      </c>
    </row>
    <row r="64" spans="1:4" ht="18" customHeight="1" x14ac:dyDescent="0.2">
      <c r="A64" s="228">
        <v>1</v>
      </c>
      <c r="B64" s="229" t="s">
        <v>121</v>
      </c>
    </row>
    <row r="65" spans="1:2" ht="18" customHeight="1" x14ac:dyDescent="0.2">
      <c r="A65" s="228">
        <v>2</v>
      </c>
      <c r="B65" s="230" t="s">
        <v>319</v>
      </c>
    </row>
    <row r="66" spans="1:2" ht="18" customHeight="1" x14ac:dyDescent="0.2">
      <c r="A66" s="228">
        <v>3</v>
      </c>
      <c r="B66" s="230" t="s">
        <v>320</v>
      </c>
    </row>
    <row r="69" spans="1:2" ht="18" customHeight="1" x14ac:dyDescent="0.2">
      <c r="A69" s="226">
        <v>1</v>
      </c>
      <c r="B69" s="369" t="s">
        <v>10</v>
      </c>
    </row>
    <row r="70" spans="1:2" ht="18" customHeight="1" x14ac:dyDescent="0.25">
      <c r="A70" s="370">
        <v>1</v>
      </c>
      <c r="B70" s="370" t="s">
        <v>121</v>
      </c>
    </row>
    <row r="71" spans="1:2" ht="18" customHeight="1" x14ac:dyDescent="0.25">
      <c r="A71" s="370">
        <v>2</v>
      </c>
      <c r="B71" s="370" t="s">
        <v>7</v>
      </c>
    </row>
    <row r="72" spans="1:2" ht="18" customHeight="1" x14ac:dyDescent="0.25">
      <c r="A72" s="370">
        <v>3</v>
      </c>
      <c r="B72" s="370" t="s">
        <v>8</v>
      </c>
    </row>
    <row r="73" spans="1:2" ht="18" customHeight="1" x14ac:dyDescent="0.25">
      <c r="A73" s="370">
        <v>4</v>
      </c>
      <c r="B73" s="370" t="s">
        <v>9</v>
      </c>
    </row>
    <row r="75" spans="1:2" ht="18" customHeight="1" x14ac:dyDescent="0.2">
      <c r="A75" s="226">
        <v>1</v>
      </c>
      <c r="B75" s="369" t="s">
        <v>11</v>
      </c>
    </row>
    <row r="76" spans="1:2" ht="18" customHeight="1" x14ac:dyDescent="0.25">
      <c r="A76" s="370">
        <v>1</v>
      </c>
      <c r="B76" s="370" t="str">
        <f>B70</f>
        <v>Bitte wählen…</v>
      </c>
    </row>
    <row r="77" spans="1:2" ht="18" customHeight="1" x14ac:dyDescent="0.25">
      <c r="A77" s="370">
        <v>2</v>
      </c>
      <c r="B77" s="370" t="str">
        <f>B71</f>
        <v>im HH lebende/r Ehe-/Lebenspartner/in</v>
      </c>
    </row>
    <row r="78" spans="1:2" ht="18" customHeight="1" x14ac:dyDescent="0.25">
      <c r="A78" s="370">
        <v>3</v>
      </c>
      <c r="B78" s="370" t="str">
        <f>B72</f>
        <v>getrennt lebende/r Ehepartner/in</v>
      </c>
    </row>
    <row r="79" spans="1:2" ht="18" customHeight="1" x14ac:dyDescent="0.25">
      <c r="A79" s="370">
        <v>4</v>
      </c>
      <c r="B79" s="370" t="str">
        <f>B73</f>
        <v>geschiedene/r Ehepartner/in</v>
      </c>
    </row>
    <row r="81" spans="1:4" ht="18" customHeight="1" x14ac:dyDescent="0.2">
      <c r="A81" s="226">
        <v>1</v>
      </c>
      <c r="B81" s="369" t="s">
        <v>12</v>
      </c>
    </row>
    <row r="82" spans="1:4" ht="18" customHeight="1" x14ac:dyDescent="0.25">
      <c r="A82" s="370">
        <v>1</v>
      </c>
      <c r="B82" s="370" t="str">
        <f>B76</f>
        <v>Bitte wählen…</v>
      </c>
    </row>
    <row r="83" spans="1:4" ht="18" customHeight="1" x14ac:dyDescent="0.25">
      <c r="A83" s="370">
        <v>2</v>
      </c>
      <c r="B83" s="370" t="str">
        <f>B77</f>
        <v>im HH lebende/r Ehe-/Lebenspartner/in</v>
      </c>
    </row>
    <row r="84" spans="1:4" ht="18" customHeight="1" x14ac:dyDescent="0.25">
      <c r="A84" s="370">
        <v>3</v>
      </c>
      <c r="B84" s="370" t="str">
        <f>B78</f>
        <v>getrennt lebende/r Ehepartner/in</v>
      </c>
    </row>
    <row r="85" spans="1:4" ht="18" customHeight="1" x14ac:dyDescent="0.25">
      <c r="A85" s="370">
        <v>4</v>
      </c>
      <c r="B85" s="370" t="str">
        <f>B79</f>
        <v>geschiedene/r Ehepartner/in</v>
      </c>
    </row>
    <row r="88" spans="1:4" ht="18" customHeight="1" x14ac:dyDescent="0.2">
      <c r="A88" s="226">
        <v>1</v>
      </c>
      <c r="B88" s="369" t="s">
        <v>14</v>
      </c>
      <c r="C88" s="374"/>
      <c r="D88" s="374"/>
    </row>
    <row r="89" spans="1:4" ht="18" customHeight="1" x14ac:dyDescent="0.25">
      <c r="A89" s="370">
        <v>1</v>
      </c>
      <c r="B89" s="142">
        <v>0</v>
      </c>
      <c r="C89" s="375">
        <v>0</v>
      </c>
      <c r="D89" s="375" t="s">
        <v>137</v>
      </c>
    </row>
    <row r="90" spans="1:4" ht="18" customHeight="1" x14ac:dyDescent="0.25">
      <c r="A90" s="370">
        <v>2</v>
      </c>
      <c r="B90" s="142" t="str">
        <f>"1.Kind: " &amp; KGKind1 &amp; " €"</f>
        <v>1.Kind: 192 €</v>
      </c>
      <c r="C90" s="375">
        <f>-KGKind1</f>
        <v>-192</v>
      </c>
      <c r="D90" s="141" t="s">
        <v>19</v>
      </c>
    </row>
    <row r="91" spans="1:4" ht="18" customHeight="1" x14ac:dyDescent="0.25">
      <c r="A91" s="370">
        <v>3</v>
      </c>
      <c r="B91" s="142" t="str">
        <f>"2.Kind: " &amp; KGKind2 &amp; " €"</f>
        <v>2.Kind: 192 €</v>
      </c>
      <c r="C91" s="375">
        <f>-KGKind2</f>
        <v>-192</v>
      </c>
      <c r="D91" s="141" t="s">
        <v>20</v>
      </c>
    </row>
    <row r="92" spans="1:4" ht="18" customHeight="1" x14ac:dyDescent="0.25">
      <c r="A92" s="370">
        <v>4</v>
      </c>
      <c r="B92" s="142" t="str">
        <f>"3.Kind: " &amp; KGKind3 &amp; " €"</f>
        <v>3.Kind: 198 €</v>
      </c>
      <c r="C92" s="375">
        <f>-KGKind3</f>
        <v>-198</v>
      </c>
      <c r="D92" s="141" t="s">
        <v>21</v>
      </c>
    </row>
    <row r="93" spans="1:4" ht="18" customHeight="1" x14ac:dyDescent="0.25">
      <c r="A93" s="370">
        <v>5</v>
      </c>
      <c r="B93" s="142" t="str">
        <f>"w.Kind: " &amp; KGKind4 &amp; " €"</f>
        <v>w.Kind: 223 €</v>
      </c>
      <c r="C93" s="375">
        <f>-KGKind4</f>
        <v>-223</v>
      </c>
      <c r="D93" s="141" t="s">
        <v>18</v>
      </c>
    </row>
    <row r="94" spans="1:4" ht="18" customHeight="1" x14ac:dyDescent="0.25">
      <c r="A94" s="370">
        <v>6</v>
      </c>
      <c r="B94" s="142" t="str">
        <f>"1.Kind " &amp; KGKind1/2 &amp; " €"</f>
        <v>1.Kind 96 €</v>
      </c>
      <c r="C94" s="375">
        <f>-KGKind1/2</f>
        <v>-96</v>
      </c>
      <c r="D94" s="141" t="s">
        <v>19</v>
      </c>
    </row>
    <row r="95" spans="1:4" ht="18" customHeight="1" x14ac:dyDescent="0.25">
      <c r="A95" s="370">
        <v>7</v>
      </c>
      <c r="B95" s="142" t="str">
        <f>"2.Kind " &amp; KGKind2/2 &amp; " €"</f>
        <v>2.Kind 96 €</v>
      </c>
      <c r="C95" s="375">
        <f>-KGKind2/2</f>
        <v>-96</v>
      </c>
      <c r="D95" s="141" t="s">
        <v>20</v>
      </c>
    </row>
    <row r="96" spans="1:4" ht="18" customHeight="1" x14ac:dyDescent="0.25">
      <c r="A96" s="370">
        <v>8</v>
      </c>
      <c r="B96" s="142" t="str">
        <f>"3.Kind " &amp; KGKind3/2 &amp; " €"</f>
        <v>3.Kind 99 €</v>
      </c>
      <c r="C96" s="375">
        <f>-KGKind3/2</f>
        <v>-99</v>
      </c>
      <c r="D96" s="141" t="s">
        <v>21</v>
      </c>
    </row>
    <row r="97" spans="1:4" ht="18" customHeight="1" x14ac:dyDescent="0.25">
      <c r="A97" s="370">
        <v>9</v>
      </c>
      <c r="B97" s="142" t="str">
        <f>"w.Kind " &amp; KGKind4/2 &amp; " €"</f>
        <v>w.Kind 111,5 €</v>
      </c>
      <c r="C97" s="375">
        <f>-KGKind4/2</f>
        <v>-111.5</v>
      </c>
      <c r="D97" s="141" t="s">
        <v>18</v>
      </c>
    </row>
    <row r="98" spans="1:4" ht="18" customHeight="1" x14ac:dyDescent="0.25">
      <c r="A98" s="370"/>
      <c r="B98" s="142"/>
      <c r="C98" s="375"/>
      <c r="D98" s="141"/>
    </row>
    <row r="100" spans="1:4" ht="18" customHeight="1" x14ac:dyDescent="0.2">
      <c r="A100" s="226">
        <v>1</v>
      </c>
      <c r="B100" s="369" t="s">
        <v>15</v>
      </c>
      <c r="C100" s="374"/>
      <c r="D100" s="374"/>
    </row>
    <row r="101" spans="1:4" ht="18" customHeight="1" x14ac:dyDescent="0.25">
      <c r="A101" s="370">
        <v>1</v>
      </c>
      <c r="B101" s="142">
        <v>0</v>
      </c>
      <c r="C101" s="375">
        <v>0</v>
      </c>
      <c r="D101" s="375" t="s">
        <v>137</v>
      </c>
    </row>
    <row r="102" spans="1:4" ht="18" customHeight="1" x14ac:dyDescent="0.25">
      <c r="A102" s="370">
        <v>2</v>
      </c>
      <c r="B102" s="142" t="str">
        <f>"1.Kind: " &amp; KGKind1 &amp; " €"</f>
        <v>1.Kind: 192 €</v>
      </c>
      <c r="C102" s="375">
        <f>-KGKind1</f>
        <v>-192</v>
      </c>
      <c r="D102" s="141" t="s">
        <v>19</v>
      </c>
    </row>
    <row r="103" spans="1:4" ht="18" customHeight="1" x14ac:dyDescent="0.25">
      <c r="A103" s="370">
        <v>3</v>
      </c>
      <c r="B103" s="142" t="str">
        <f>"2.Kind: " &amp; KGKind2 &amp; " €"</f>
        <v>2.Kind: 192 €</v>
      </c>
      <c r="C103" s="375">
        <f>-KGKind2</f>
        <v>-192</v>
      </c>
      <c r="D103" s="141" t="s">
        <v>20</v>
      </c>
    </row>
    <row r="104" spans="1:4" ht="18" customHeight="1" x14ac:dyDescent="0.25">
      <c r="A104" s="370">
        <v>4</v>
      </c>
      <c r="B104" s="142" t="str">
        <f>"3.Kind: " &amp; KGKind3 &amp; " €"</f>
        <v>3.Kind: 198 €</v>
      </c>
      <c r="C104" s="375">
        <f>-KGKind3</f>
        <v>-198</v>
      </c>
      <c r="D104" s="141" t="s">
        <v>21</v>
      </c>
    </row>
    <row r="105" spans="1:4" ht="18" customHeight="1" x14ac:dyDescent="0.25">
      <c r="A105" s="370">
        <v>5</v>
      </c>
      <c r="B105" s="142" t="str">
        <f>"w.Kind: " &amp; KGKind4 &amp; " €"</f>
        <v>w.Kind: 223 €</v>
      </c>
      <c r="C105" s="375">
        <f>-KGKind4</f>
        <v>-223</v>
      </c>
      <c r="D105" s="141" t="s">
        <v>18</v>
      </c>
    </row>
    <row r="106" spans="1:4" ht="18" customHeight="1" x14ac:dyDescent="0.25">
      <c r="A106" s="370">
        <v>6</v>
      </c>
      <c r="B106" s="142" t="str">
        <f>"1.Kind " &amp; KGKind1/2 &amp; " €"</f>
        <v>1.Kind 96 €</v>
      </c>
      <c r="C106" s="375">
        <f>-KGKind1/2</f>
        <v>-96</v>
      </c>
      <c r="D106" s="141" t="s">
        <v>19</v>
      </c>
    </row>
    <row r="107" spans="1:4" ht="18" customHeight="1" x14ac:dyDescent="0.25">
      <c r="A107" s="370">
        <v>7</v>
      </c>
      <c r="B107" s="142" t="str">
        <f>"2.Kind " &amp; KGKind2/2 &amp; " €"</f>
        <v>2.Kind 96 €</v>
      </c>
      <c r="C107" s="375">
        <f>-KGKind2/2</f>
        <v>-96</v>
      </c>
      <c r="D107" s="141" t="s">
        <v>20</v>
      </c>
    </row>
    <row r="108" spans="1:4" ht="18" customHeight="1" x14ac:dyDescent="0.25">
      <c r="A108" s="370">
        <v>8</v>
      </c>
      <c r="B108" s="142" t="str">
        <f>"3.Kind " &amp; KGKind3/2 &amp; " €"</f>
        <v>3.Kind 99 €</v>
      </c>
      <c r="C108" s="375">
        <f>-KGKind3/2</f>
        <v>-99</v>
      </c>
      <c r="D108" s="141" t="s">
        <v>21</v>
      </c>
    </row>
    <row r="109" spans="1:4" ht="18" customHeight="1" x14ac:dyDescent="0.25">
      <c r="A109" s="370">
        <v>9</v>
      </c>
      <c r="B109" s="142" t="str">
        <f>"w.Kind " &amp; KGKind4/2 &amp; " €"</f>
        <v>w.Kind 111,5 €</v>
      </c>
      <c r="C109" s="375">
        <f>-KGKind4/2</f>
        <v>-111.5</v>
      </c>
      <c r="D109" s="141" t="s">
        <v>18</v>
      </c>
    </row>
    <row r="110" spans="1:4" ht="18" customHeight="1" x14ac:dyDescent="0.25">
      <c r="A110" s="370"/>
      <c r="B110" s="142"/>
      <c r="C110" s="375"/>
      <c r="D110" s="141"/>
    </row>
    <row r="112" spans="1:4" ht="18" customHeight="1" x14ac:dyDescent="0.2">
      <c r="A112" s="226">
        <v>1</v>
      </c>
      <c r="B112" s="369" t="s">
        <v>16</v>
      </c>
      <c r="C112" s="374"/>
      <c r="D112" s="374"/>
    </row>
    <row r="113" spans="1:4" ht="18" customHeight="1" x14ac:dyDescent="0.25">
      <c r="A113" s="370">
        <v>1</v>
      </c>
      <c r="B113" s="142">
        <v>0</v>
      </c>
      <c r="C113" s="375">
        <v>0</v>
      </c>
      <c r="D113" s="375" t="s">
        <v>137</v>
      </c>
    </row>
    <row r="114" spans="1:4" ht="18" customHeight="1" x14ac:dyDescent="0.25">
      <c r="A114" s="370">
        <v>2</v>
      </c>
      <c r="B114" s="142" t="str">
        <f>"1.Kind: " &amp; KGKind1 &amp; " €"</f>
        <v>1.Kind: 192 €</v>
      </c>
      <c r="C114" s="375">
        <f>-KGKind1</f>
        <v>-192</v>
      </c>
      <c r="D114" s="141" t="s">
        <v>19</v>
      </c>
    </row>
    <row r="115" spans="1:4" ht="18" customHeight="1" x14ac:dyDescent="0.25">
      <c r="A115" s="370">
        <v>3</v>
      </c>
      <c r="B115" s="142" t="str">
        <f>"2.Kind: " &amp; KGKind2 &amp; " €"</f>
        <v>2.Kind: 192 €</v>
      </c>
      <c r="C115" s="375">
        <f>-KGKind2</f>
        <v>-192</v>
      </c>
      <c r="D115" s="141" t="s">
        <v>20</v>
      </c>
    </row>
    <row r="116" spans="1:4" ht="18" customHeight="1" x14ac:dyDescent="0.25">
      <c r="A116" s="370">
        <v>4</v>
      </c>
      <c r="B116" s="142" t="str">
        <f>"3.Kind: " &amp; KGKind3 &amp; " €"</f>
        <v>3.Kind: 198 €</v>
      </c>
      <c r="C116" s="375">
        <f>-KGKind3</f>
        <v>-198</v>
      </c>
      <c r="D116" s="141" t="s">
        <v>21</v>
      </c>
    </row>
    <row r="117" spans="1:4" ht="18" customHeight="1" x14ac:dyDescent="0.25">
      <c r="A117" s="370">
        <v>5</v>
      </c>
      <c r="B117" s="142" t="str">
        <f>"w.Kind: " &amp; KGKind4 &amp; " €"</f>
        <v>w.Kind: 223 €</v>
      </c>
      <c r="C117" s="375">
        <f>-KGKind4</f>
        <v>-223</v>
      </c>
      <c r="D117" s="141" t="s">
        <v>18</v>
      </c>
    </row>
    <row r="118" spans="1:4" ht="18" customHeight="1" x14ac:dyDescent="0.25">
      <c r="A118" s="370">
        <v>6</v>
      </c>
      <c r="B118" s="142" t="str">
        <f>"1.Kind " &amp; KGKind1/2 &amp; " €"</f>
        <v>1.Kind 96 €</v>
      </c>
      <c r="C118" s="375">
        <f>-KGKind1/2</f>
        <v>-96</v>
      </c>
      <c r="D118" s="141" t="s">
        <v>19</v>
      </c>
    </row>
    <row r="119" spans="1:4" ht="18" customHeight="1" x14ac:dyDescent="0.25">
      <c r="A119" s="370">
        <v>7</v>
      </c>
      <c r="B119" s="142" t="str">
        <f>"2.Kind " &amp; KGKind2/2 &amp; " €"</f>
        <v>2.Kind 96 €</v>
      </c>
      <c r="C119" s="375">
        <f>-KGKind2/2</f>
        <v>-96</v>
      </c>
      <c r="D119" s="141" t="s">
        <v>20</v>
      </c>
    </row>
    <row r="120" spans="1:4" ht="18" customHeight="1" x14ac:dyDescent="0.25">
      <c r="A120" s="370">
        <v>8</v>
      </c>
      <c r="B120" s="142" t="str">
        <f>"3.Kind " &amp; KGKind3/2 &amp; " €"</f>
        <v>3.Kind 99 €</v>
      </c>
      <c r="C120" s="375">
        <f>-KGKind3/2</f>
        <v>-99</v>
      </c>
      <c r="D120" s="141" t="s">
        <v>21</v>
      </c>
    </row>
    <row r="121" spans="1:4" ht="18" customHeight="1" x14ac:dyDescent="0.25">
      <c r="A121" s="370">
        <v>9</v>
      </c>
      <c r="B121" s="142" t="str">
        <f>"w.Kind " &amp; KGKind4/2 &amp; " €"</f>
        <v>w.Kind 111,5 €</v>
      </c>
      <c r="C121" s="375">
        <f>-KGKind4/2</f>
        <v>-111.5</v>
      </c>
      <c r="D121" s="141" t="s">
        <v>18</v>
      </c>
    </row>
    <row r="122" spans="1:4" ht="18" customHeight="1" x14ac:dyDescent="0.25">
      <c r="A122" s="370"/>
      <c r="B122" s="142"/>
      <c r="C122" s="375"/>
      <c r="D122" s="141"/>
    </row>
    <row r="124" spans="1:4" ht="18" customHeight="1" x14ac:dyDescent="0.2">
      <c r="A124" s="226">
        <v>1</v>
      </c>
      <c r="B124" s="369" t="s">
        <v>17</v>
      </c>
      <c r="C124" s="374"/>
      <c r="D124" s="374"/>
    </row>
    <row r="125" spans="1:4" ht="18" customHeight="1" x14ac:dyDescent="0.25">
      <c r="A125" s="370">
        <v>1</v>
      </c>
      <c r="B125" s="142">
        <v>0</v>
      </c>
      <c r="C125" s="375">
        <v>0</v>
      </c>
      <c r="D125" s="375" t="s">
        <v>137</v>
      </c>
    </row>
    <row r="126" spans="1:4" ht="18" customHeight="1" x14ac:dyDescent="0.25">
      <c r="A126" s="370">
        <v>2</v>
      </c>
      <c r="B126" s="142" t="str">
        <f>"1.Kind: " &amp; KGKind1 &amp; " €"</f>
        <v>1.Kind: 192 €</v>
      </c>
      <c r="C126" s="375">
        <f>-KGKind1</f>
        <v>-192</v>
      </c>
      <c r="D126" s="141" t="s">
        <v>19</v>
      </c>
    </row>
    <row r="127" spans="1:4" ht="18" customHeight="1" x14ac:dyDescent="0.25">
      <c r="A127" s="370">
        <v>3</v>
      </c>
      <c r="B127" s="142" t="str">
        <f>"2.Kind: " &amp; KGKind2 &amp; " €"</f>
        <v>2.Kind: 192 €</v>
      </c>
      <c r="C127" s="375">
        <f>-KGKind2</f>
        <v>-192</v>
      </c>
      <c r="D127" s="141" t="s">
        <v>20</v>
      </c>
    </row>
    <row r="128" spans="1:4" ht="18" customHeight="1" x14ac:dyDescent="0.25">
      <c r="A128" s="370">
        <v>4</v>
      </c>
      <c r="B128" s="142" t="str">
        <f>"3.Kind: " &amp; KGKind3 &amp; " €"</f>
        <v>3.Kind: 198 €</v>
      </c>
      <c r="C128" s="375">
        <f>-KGKind3</f>
        <v>-198</v>
      </c>
      <c r="D128" s="141" t="s">
        <v>21</v>
      </c>
    </row>
    <row r="129" spans="1:4" ht="18" customHeight="1" x14ac:dyDescent="0.25">
      <c r="A129" s="370">
        <v>5</v>
      </c>
      <c r="B129" s="142" t="str">
        <f>"w.Kind: " &amp; KGKind4 &amp; " €"</f>
        <v>w.Kind: 223 €</v>
      </c>
      <c r="C129" s="375">
        <f>-KGKind4</f>
        <v>-223</v>
      </c>
      <c r="D129" s="141" t="s">
        <v>18</v>
      </c>
    </row>
    <row r="130" spans="1:4" ht="18" customHeight="1" x14ac:dyDescent="0.25">
      <c r="A130" s="370">
        <v>6</v>
      </c>
      <c r="B130" s="142" t="str">
        <f>"1.Kind " &amp; KGKind1/2 &amp; " €"</f>
        <v>1.Kind 96 €</v>
      </c>
      <c r="C130" s="375">
        <f>-KGKind1/2</f>
        <v>-96</v>
      </c>
      <c r="D130" s="141" t="s">
        <v>19</v>
      </c>
    </row>
    <row r="131" spans="1:4" ht="18" customHeight="1" x14ac:dyDescent="0.25">
      <c r="A131" s="370">
        <v>7</v>
      </c>
      <c r="B131" s="142" t="str">
        <f>"2.Kind " &amp; KGKind2/2 &amp; " €"</f>
        <v>2.Kind 96 €</v>
      </c>
      <c r="C131" s="375">
        <f>-KGKind2/2</f>
        <v>-96</v>
      </c>
      <c r="D131" s="141" t="s">
        <v>20</v>
      </c>
    </row>
    <row r="132" spans="1:4" ht="18" customHeight="1" x14ac:dyDescent="0.25">
      <c r="A132" s="370">
        <v>8</v>
      </c>
      <c r="B132" s="142" t="str">
        <f>"3.Kind " &amp; KGKind3/2 &amp; " €"</f>
        <v>3.Kind 99 €</v>
      </c>
      <c r="C132" s="375">
        <f>-KGKind3/2</f>
        <v>-99</v>
      </c>
      <c r="D132" s="141" t="s">
        <v>21</v>
      </c>
    </row>
    <row r="133" spans="1:4" ht="18" customHeight="1" x14ac:dyDescent="0.25">
      <c r="A133" s="370">
        <v>9</v>
      </c>
      <c r="B133" s="142" t="str">
        <f>"w.Kind " &amp; KGKind4/2 &amp; " €"</f>
        <v>w.Kind 111,5 €</v>
      </c>
      <c r="C133" s="375">
        <f>-KGKind4/2</f>
        <v>-111.5</v>
      </c>
      <c r="D133" s="141" t="s">
        <v>18</v>
      </c>
    </row>
    <row r="136" spans="1:4" ht="18" customHeight="1" x14ac:dyDescent="0.2">
      <c r="A136" s="4">
        <v>1</v>
      </c>
      <c r="B136" s="2" t="s">
        <v>374</v>
      </c>
    </row>
    <row r="137" spans="1:4" ht="18" customHeight="1" x14ac:dyDescent="0.2">
      <c r="A137" s="4">
        <v>1</v>
      </c>
      <c r="B137" s="1" t="s">
        <v>121</v>
      </c>
    </row>
    <row r="138" spans="1:4" ht="18" customHeight="1" x14ac:dyDescent="0.2">
      <c r="A138" s="4">
        <v>2</v>
      </c>
      <c r="B138" s="382" t="s">
        <v>383</v>
      </c>
      <c r="C138" s="394" t="s">
        <v>384</v>
      </c>
    </row>
    <row r="139" spans="1:4" ht="18" customHeight="1" x14ac:dyDescent="0.2">
      <c r="A139" s="4">
        <v>3</v>
      </c>
      <c r="B139" s="382" t="s">
        <v>385</v>
      </c>
      <c r="C139" s="394" t="s">
        <v>386</v>
      </c>
    </row>
    <row r="140" spans="1:4" ht="18" customHeight="1" x14ac:dyDescent="0.2">
      <c r="A140" s="4">
        <v>4</v>
      </c>
      <c r="B140" s="382" t="s">
        <v>398</v>
      </c>
      <c r="C140" s="394" t="s">
        <v>386</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J51"/>
  <sheetViews>
    <sheetView topLeftCell="A25" workbookViewId="0">
      <selection activeCell="C44" sqref="C44"/>
    </sheetView>
  </sheetViews>
  <sheetFormatPr baseColWidth="10" defaultRowHeight="12.75" x14ac:dyDescent="0.2"/>
  <cols>
    <col min="1" max="1" width="11.42578125" style="29"/>
    <col min="2" max="2" width="41.42578125" style="29" bestFit="1" customWidth="1"/>
    <col min="3" max="5" width="14.7109375" style="29" customWidth="1"/>
    <col min="6" max="6" width="16.42578125" style="29" customWidth="1"/>
    <col min="7" max="16384" width="11.42578125" style="29"/>
  </cols>
  <sheetData>
    <row r="1" spans="1:10" ht="22.5" x14ac:dyDescent="0.2">
      <c r="A1" s="25" t="s">
        <v>180</v>
      </c>
      <c r="B1" s="25" t="s">
        <v>181</v>
      </c>
      <c r="C1" s="26" t="s">
        <v>182</v>
      </c>
      <c r="D1" s="26" t="s">
        <v>183</v>
      </c>
      <c r="E1" s="26" t="s">
        <v>184</v>
      </c>
      <c r="F1" s="26" t="s">
        <v>115</v>
      </c>
      <c r="G1" s="27"/>
      <c r="H1" s="28" t="s">
        <v>185</v>
      </c>
      <c r="I1" s="27"/>
      <c r="J1" s="27"/>
    </row>
    <row r="2" spans="1:10" x14ac:dyDescent="0.2">
      <c r="A2" s="30">
        <v>1</v>
      </c>
      <c r="B2" s="31">
        <v>1100.99</v>
      </c>
      <c r="C2" s="32">
        <v>0</v>
      </c>
      <c r="D2" s="32">
        <v>0</v>
      </c>
      <c r="E2" s="32">
        <v>0</v>
      </c>
      <c r="F2" s="32">
        <v>0</v>
      </c>
      <c r="G2" s="33"/>
      <c r="H2" s="34">
        <f>IF(C31&lt;=B2,A2,"")</f>
        <v>1</v>
      </c>
      <c r="I2" s="33"/>
      <c r="J2" s="33"/>
    </row>
    <row r="3" spans="1:10" x14ac:dyDescent="0.2">
      <c r="A3" s="30">
        <v>2</v>
      </c>
      <c r="B3" s="31">
        <v>1200.99</v>
      </c>
      <c r="C3" s="32">
        <v>50</v>
      </c>
      <c r="D3" s="32">
        <v>0</v>
      </c>
      <c r="E3" s="32">
        <v>0</v>
      </c>
      <c r="F3" s="32">
        <v>40</v>
      </c>
      <c r="G3" s="33"/>
      <c r="H3" s="34" t="str">
        <f t="shared" ref="H3:H29" si="0">IF(AND($C$31&lt;=B3,$C$31&gt;B2)=TRUE,A3,"")</f>
        <v/>
      </c>
      <c r="I3" s="33"/>
      <c r="J3" s="33"/>
    </row>
    <row r="4" spans="1:10" x14ac:dyDescent="0.2">
      <c r="A4" s="30">
        <v>3</v>
      </c>
      <c r="B4" s="31">
        <v>1300.99</v>
      </c>
      <c r="C4" s="32">
        <v>130</v>
      </c>
      <c r="D4" s="32">
        <v>0</v>
      </c>
      <c r="E4" s="32">
        <v>0</v>
      </c>
      <c r="F4" s="32">
        <v>50</v>
      </c>
      <c r="G4" s="33"/>
      <c r="H4" s="34" t="str">
        <f t="shared" si="0"/>
        <v/>
      </c>
      <c r="I4" s="33"/>
      <c r="J4" s="33"/>
    </row>
    <row r="5" spans="1:10" x14ac:dyDescent="0.2">
      <c r="A5" s="30">
        <v>4</v>
      </c>
      <c r="B5" s="31">
        <v>1450.99</v>
      </c>
      <c r="C5" s="32">
        <v>210</v>
      </c>
      <c r="D5" s="32">
        <v>30</v>
      </c>
      <c r="E5" s="32">
        <v>0</v>
      </c>
      <c r="F5" s="32">
        <v>60</v>
      </c>
      <c r="G5" s="33"/>
      <c r="H5" s="34" t="str">
        <f t="shared" si="0"/>
        <v/>
      </c>
      <c r="I5" s="33"/>
      <c r="J5" s="33"/>
    </row>
    <row r="6" spans="1:10" x14ac:dyDescent="0.2">
      <c r="A6" s="30">
        <v>5</v>
      </c>
      <c r="B6" s="31">
        <v>1600.99</v>
      </c>
      <c r="C6" s="32">
        <v>259</v>
      </c>
      <c r="D6" s="32">
        <v>60</v>
      </c>
      <c r="E6" s="32">
        <v>30</v>
      </c>
      <c r="F6" s="32">
        <v>70</v>
      </c>
      <c r="G6" s="33"/>
      <c r="H6" s="34" t="str">
        <f t="shared" si="0"/>
        <v/>
      </c>
      <c r="I6" s="33"/>
      <c r="J6" s="33"/>
    </row>
    <row r="7" spans="1:10" x14ac:dyDescent="0.2">
      <c r="A7" s="30">
        <v>6</v>
      </c>
      <c r="B7" s="31">
        <v>1800.99</v>
      </c>
      <c r="C7" s="32">
        <v>289</v>
      </c>
      <c r="D7" s="32">
        <v>85</v>
      </c>
      <c r="E7" s="32">
        <v>40</v>
      </c>
      <c r="F7" s="32">
        <v>85</v>
      </c>
      <c r="G7" s="33"/>
      <c r="H7" s="34" t="str">
        <f t="shared" si="0"/>
        <v/>
      </c>
      <c r="I7" s="33"/>
      <c r="J7" s="33"/>
    </row>
    <row r="8" spans="1:10" x14ac:dyDescent="0.2">
      <c r="A8" s="30">
        <v>7</v>
      </c>
      <c r="B8" s="31">
        <v>2000.99</v>
      </c>
      <c r="C8" s="32">
        <v>342</v>
      </c>
      <c r="D8" s="32">
        <v>105</v>
      </c>
      <c r="E8" s="32">
        <v>50</v>
      </c>
      <c r="F8" s="32">
        <v>95</v>
      </c>
      <c r="G8" s="33"/>
      <c r="H8" s="34" t="str">
        <f t="shared" si="0"/>
        <v/>
      </c>
      <c r="I8" s="33"/>
      <c r="J8" s="33"/>
    </row>
    <row r="9" spans="1:10" x14ac:dyDescent="0.2">
      <c r="A9" s="30">
        <v>8</v>
      </c>
      <c r="B9" s="31">
        <v>2200.9899999999998</v>
      </c>
      <c r="C9" s="32">
        <v>378</v>
      </c>
      <c r="D9" s="32">
        <v>140</v>
      </c>
      <c r="E9" s="32">
        <v>60</v>
      </c>
      <c r="F9" s="32">
        <v>105</v>
      </c>
      <c r="G9" s="33"/>
      <c r="H9" s="34" t="str">
        <f t="shared" si="0"/>
        <v/>
      </c>
      <c r="I9" s="33"/>
      <c r="J9" s="33"/>
    </row>
    <row r="10" spans="1:10" x14ac:dyDescent="0.2">
      <c r="A10" s="30">
        <v>9</v>
      </c>
      <c r="B10" s="31">
        <v>2400.9899999999998</v>
      </c>
      <c r="C10" s="32">
        <v>437</v>
      </c>
      <c r="D10" s="32">
        <v>175</v>
      </c>
      <c r="E10" s="32">
        <v>80</v>
      </c>
      <c r="F10" s="32">
        <v>115</v>
      </c>
      <c r="G10" s="33"/>
      <c r="H10" s="34" t="str">
        <f t="shared" si="0"/>
        <v/>
      </c>
      <c r="I10" s="33"/>
      <c r="J10" s="33"/>
    </row>
    <row r="11" spans="1:10" x14ac:dyDescent="0.2">
      <c r="A11" s="30">
        <v>10</v>
      </c>
      <c r="B11" s="31">
        <v>2700.99</v>
      </c>
      <c r="C11" s="32">
        <v>510</v>
      </c>
      <c r="D11" s="32">
        <v>220</v>
      </c>
      <c r="E11" s="32">
        <v>120</v>
      </c>
      <c r="F11" s="32">
        <v>130</v>
      </c>
      <c r="G11" s="33"/>
      <c r="H11" s="34" t="str">
        <f t="shared" si="0"/>
        <v/>
      </c>
      <c r="I11" s="33"/>
      <c r="J11" s="33"/>
    </row>
    <row r="12" spans="1:10" x14ac:dyDescent="0.2">
      <c r="A12" s="30">
        <v>11</v>
      </c>
      <c r="B12" s="31">
        <v>3000.99</v>
      </c>
      <c r="C12" s="32">
        <v>570</v>
      </c>
      <c r="D12" s="32">
        <v>275</v>
      </c>
      <c r="E12" s="32">
        <v>165</v>
      </c>
      <c r="F12" s="32">
        <v>145</v>
      </c>
      <c r="G12" s="33"/>
      <c r="H12" s="34" t="str">
        <f t="shared" si="0"/>
        <v/>
      </c>
      <c r="I12" s="33"/>
      <c r="J12" s="33"/>
    </row>
    <row r="13" spans="1:10" x14ac:dyDescent="0.2">
      <c r="A13" s="30">
        <v>12</v>
      </c>
      <c r="B13" s="31">
        <v>3300.99</v>
      </c>
      <c r="C13" s="32">
        <v>630</v>
      </c>
      <c r="D13" s="32">
        <v>335</v>
      </c>
      <c r="E13" s="32">
        <v>210</v>
      </c>
      <c r="F13" s="32">
        <v>160</v>
      </c>
      <c r="G13" s="33"/>
      <c r="H13" s="34" t="str">
        <f t="shared" si="0"/>
        <v/>
      </c>
      <c r="I13" s="33"/>
      <c r="J13" s="33"/>
    </row>
    <row r="14" spans="1:10" x14ac:dyDescent="0.2">
      <c r="A14" s="30">
        <v>13</v>
      </c>
      <c r="B14" s="31">
        <v>3600.99</v>
      </c>
      <c r="C14" s="32">
        <v>725</v>
      </c>
      <c r="D14" s="32">
        <v>410</v>
      </c>
      <c r="E14" s="32">
        <v>260</v>
      </c>
      <c r="F14" s="32">
        <v>175</v>
      </c>
      <c r="G14" s="33"/>
      <c r="H14" s="34" t="str">
        <f t="shared" si="0"/>
        <v/>
      </c>
      <c r="I14" s="33"/>
      <c r="J14" s="33"/>
    </row>
    <row r="15" spans="1:10" x14ac:dyDescent="0.2">
      <c r="A15" s="30">
        <v>14</v>
      </c>
      <c r="B15" s="31">
        <v>3900.99</v>
      </c>
      <c r="C15" s="32">
        <v>825</v>
      </c>
      <c r="D15" s="32">
        <v>485</v>
      </c>
      <c r="E15" s="32">
        <v>320</v>
      </c>
      <c r="F15" s="32">
        <v>190</v>
      </c>
      <c r="G15" s="33"/>
      <c r="H15" s="34" t="str">
        <f t="shared" si="0"/>
        <v/>
      </c>
      <c r="I15" s="33"/>
      <c r="J15" s="33"/>
    </row>
    <row r="16" spans="1:10" x14ac:dyDescent="0.2">
      <c r="A16" s="30">
        <v>15</v>
      </c>
      <c r="B16" s="31">
        <v>4200.99</v>
      </c>
      <c r="C16" s="32">
        <v>932</v>
      </c>
      <c r="D16" s="32">
        <v>560</v>
      </c>
      <c r="E16" s="32">
        <v>380</v>
      </c>
      <c r="F16" s="32">
        <v>205</v>
      </c>
      <c r="G16" s="33"/>
      <c r="H16" s="34" t="str">
        <f t="shared" si="0"/>
        <v/>
      </c>
      <c r="I16" s="33"/>
      <c r="J16" s="33"/>
    </row>
    <row r="17" spans="1:10" x14ac:dyDescent="0.2">
      <c r="A17" s="30">
        <v>16</v>
      </c>
      <c r="B17" s="31">
        <v>4600.99</v>
      </c>
      <c r="C17" s="32">
        <v>1056</v>
      </c>
      <c r="D17" s="32">
        <v>635</v>
      </c>
      <c r="E17" s="32">
        <v>440</v>
      </c>
      <c r="F17" s="32">
        <v>220</v>
      </c>
      <c r="G17" s="33"/>
      <c r="H17" s="34" t="str">
        <f t="shared" si="0"/>
        <v/>
      </c>
      <c r="I17" s="33"/>
      <c r="J17" s="33"/>
    </row>
    <row r="18" spans="1:10" x14ac:dyDescent="0.2">
      <c r="A18" s="30">
        <v>17</v>
      </c>
      <c r="B18" s="31">
        <v>5000.99</v>
      </c>
      <c r="C18" s="32">
        <v>1152</v>
      </c>
      <c r="D18" s="32">
        <v>715</v>
      </c>
      <c r="E18" s="32">
        <v>500</v>
      </c>
      <c r="F18" s="32">
        <v>240</v>
      </c>
      <c r="G18" s="33"/>
      <c r="H18" s="34" t="str">
        <f t="shared" si="0"/>
        <v/>
      </c>
      <c r="I18" s="33"/>
      <c r="J18" s="33"/>
    </row>
    <row r="19" spans="1:10" x14ac:dyDescent="0.2">
      <c r="A19" s="30">
        <v>18</v>
      </c>
      <c r="B19" s="31">
        <v>5500.99</v>
      </c>
      <c r="C19" s="32">
        <v>1313</v>
      </c>
      <c r="D19" s="32">
        <v>790</v>
      </c>
      <c r="E19" s="32">
        <v>555</v>
      </c>
      <c r="F19" s="32">
        <v>265</v>
      </c>
      <c r="G19" s="33"/>
      <c r="H19" s="34" t="str">
        <f t="shared" si="0"/>
        <v/>
      </c>
      <c r="I19" s="33"/>
      <c r="J19" s="33"/>
    </row>
    <row r="20" spans="1:10" x14ac:dyDescent="0.2">
      <c r="A20" s="30">
        <v>19</v>
      </c>
      <c r="B20" s="31">
        <v>6000.99</v>
      </c>
      <c r="C20" s="32">
        <v>1438</v>
      </c>
      <c r="D20" s="32">
        <v>865</v>
      </c>
      <c r="E20" s="32">
        <v>605</v>
      </c>
      <c r="F20" s="32">
        <v>290</v>
      </c>
      <c r="G20" s="33"/>
      <c r="H20" s="34" t="str">
        <f t="shared" si="0"/>
        <v/>
      </c>
      <c r="I20" s="33"/>
      <c r="J20" s="33"/>
    </row>
    <row r="21" spans="1:10" x14ac:dyDescent="0.2">
      <c r="A21" s="30">
        <v>20</v>
      </c>
      <c r="B21" s="31">
        <v>6500.99</v>
      </c>
      <c r="C21" s="32">
        <v>1563</v>
      </c>
      <c r="D21" s="32">
        <v>940</v>
      </c>
      <c r="E21" s="32">
        <v>658</v>
      </c>
      <c r="F21" s="32">
        <v>315</v>
      </c>
      <c r="G21" s="33"/>
      <c r="H21" s="34" t="str">
        <f t="shared" si="0"/>
        <v/>
      </c>
      <c r="I21" s="33"/>
      <c r="J21" s="33"/>
    </row>
    <row r="22" spans="1:10" x14ac:dyDescent="0.2">
      <c r="A22" s="30">
        <v>21</v>
      </c>
      <c r="B22" s="31">
        <v>7000.99</v>
      </c>
      <c r="C22" s="32">
        <v>1688</v>
      </c>
      <c r="D22" s="32">
        <v>1015</v>
      </c>
      <c r="E22" s="32">
        <v>710</v>
      </c>
      <c r="F22" s="32">
        <v>340</v>
      </c>
      <c r="G22" s="33"/>
      <c r="H22" s="34" t="str">
        <f t="shared" si="0"/>
        <v/>
      </c>
      <c r="I22" s="33"/>
      <c r="J22" s="33"/>
    </row>
    <row r="23" spans="1:10" x14ac:dyDescent="0.2">
      <c r="A23" s="30">
        <v>22</v>
      </c>
      <c r="B23" s="31">
        <v>7500.99</v>
      </c>
      <c r="C23" s="32">
        <v>1813</v>
      </c>
      <c r="D23" s="32">
        <v>1090</v>
      </c>
      <c r="E23" s="32">
        <v>763</v>
      </c>
      <c r="F23" s="32">
        <v>365</v>
      </c>
      <c r="G23" s="33"/>
      <c r="H23" s="34" t="str">
        <f t="shared" si="0"/>
        <v/>
      </c>
      <c r="I23" s="33"/>
      <c r="J23" s="33"/>
    </row>
    <row r="24" spans="1:10" x14ac:dyDescent="0.2">
      <c r="A24" s="30">
        <v>23</v>
      </c>
      <c r="B24" s="31">
        <v>8000.99</v>
      </c>
      <c r="C24" s="32">
        <v>1938</v>
      </c>
      <c r="D24" s="32">
        <v>1165</v>
      </c>
      <c r="E24" s="32">
        <v>815</v>
      </c>
      <c r="F24" s="32">
        <v>390</v>
      </c>
      <c r="G24" s="33"/>
      <c r="H24" s="34" t="str">
        <f t="shared" si="0"/>
        <v/>
      </c>
      <c r="I24" s="33"/>
      <c r="J24" s="33"/>
    </row>
    <row r="25" spans="1:10" x14ac:dyDescent="0.2">
      <c r="A25" s="30">
        <v>24</v>
      </c>
      <c r="B25" s="31">
        <v>8500.99</v>
      </c>
      <c r="C25" s="32">
        <v>2063</v>
      </c>
      <c r="D25" s="32">
        <v>1240</v>
      </c>
      <c r="E25" s="32">
        <v>868</v>
      </c>
      <c r="F25" s="32">
        <v>415</v>
      </c>
      <c r="G25" s="33"/>
      <c r="H25" s="34" t="str">
        <f t="shared" si="0"/>
        <v/>
      </c>
      <c r="I25" s="33"/>
      <c r="J25" s="33"/>
    </row>
    <row r="26" spans="1:10" x14ac:dyDescent="0.2">
      <c r="A26" s="30">
        <v>25</v>
      </c>
      <c r="B26" s="31">
        <v>9000.99</v>
      </c>
      <c r="C26" s="32">
        <v>2188</v>
      </c>
      <c r="D26" s="32">
        <v>1315</v>
      </c>
      <c r="E26" s="32">
        <v>920</v>
      </c>
      <c r="F26" s="32">
        <v>440</v>
      </c>
      <c r="G26" s="33"/>
      <c r="H26" s="34" t="str">
        <f t="shared" si="0"/>
        <v/>
      </c>
      <c r="I26" s="33"/>
      <c r="J26" s="33"/>
    </row>
    <row r="27" spans="1:10" x14ac:dyDescent="0.2">
      <c r="A27" s="30">
        <v>26</v>
      </c>
      <c r="B27" s="31">
        <v>9500.99</v>
      </c>
      <c r="C27" s="32">
        <v>2313</v>
      </c>
      <c r="D27" s="32">
        <v>1390</v>
      </c>
      <c r="E27" s="32">
        <v>973</v>
      </c>
      <c r="F27" s="32">
        <v>465</v>
      </c>
      <c r="G27" s="33"/>
      <c r="H27" s="34" t="str">
        <f t="shared" si="0"/>
        <v/>
      </c>
      <c r="I27" s="33"/>
      <c r="J27" s="33"/>
    </row>
    <row r="28" spans="1:10" x14ac:dyDescent="0.2">
      <c r="A28" s="30">
        <v>27</v>
      </c>
      <c r="B28" s="31">
        <v>10000.99</v>
      </c>
      <c r="C28" s="32">
        <v>2438</v>
      </c>
      <c r="D28" s="32">
        <v>1465</v>
      </c>
      <c r="E28" s="32">
        <v>1025</v>
      </c>
      <c r="F28" s="32">
        <v>490</v>
      </c>
      <c r="G28" s="33"/>
      <c r="H28" s="34" t="str">
        <f t="shared" si="0"/>
        <v/>
      </c>
      <c r="I28" s="33"/>
      <c r="J28" s="33"/>
    </row>
    <row r="29" spans="1:10" x14ac:dyDescent="0.2">
      <c r="A29" s="30">
        <v>28</v>
      </c>
      <c r="B29" s="31">
        <v>999999.99</v>
      </c>
      <c r="C29" s="32">
        <f>25%*C31</f>
        <v>0</v>
      </c>
      <c r="D29" s="32">
        <f>15%*C31</f>
        <v>0</v>
      </c>
      <c r="E29" s="32">
        <f>10%*C31</f>
        <v>0</v>
      </c>
      <c r="F29" s="32">
        <f>5%*C31</f>
        <v>0</v>
      </c>
      <c r="G29" s="33"/>
      <c r="H29" s="34" t="str">
        <f t="shared" si="0"/>
        <v/>
      </c>
      <c r="I29" s="33"/>
      <c r="J29" s="33"/>
    </row>
    <row r="30" spans="1:10" x14ac:dyDescent="0.2">
      <c r="A30" s="35"/>
      <c r="B30" s="36"/>
      <c r="C30" s="37"/>
      <c r="D30" s="37"/>
      <c r="E30" s="37"/>
      <c r="F30" s="37"/>
      <c r="G30" s="33"/>
      <c r="H30" s="38"/>
      <c r="I30" s="33"/>
      <c r="J30" s="33"/>
    </row>
    <row r="31" spans="1:10" x14ac:dyDescent="0.2">
      <c r="A31" s="33"/>
      <c r="B31" s="39" t="s">
        <v>186</v>
      </c>
      <c r="C31" s="40">
        <f>Hauptberechnung!U97</f>
        <v>0</v>
      </c>
      <c r="D31" s="41"/>
      <c r="E31" s="41"/>
      <c r="F31" s="41"/>
      <c r="G31" s="33"/>
      <c r="H31" s="33"/>
      <c r="I31" s="33"/>
      <c r="J31" s="33"/>
    </row>
    <row r="32" spans="1:10" x14ac:dyDescent="0.2">
      <c r="A32" s="33"/>
      <c r="B32" s="39" t="s">
        <v>187</v>
      </c>
      <c r="C32" s="33">
        <f>MAX(H2:H29)</f>
        <v>1</v>
      </c>
      <c r="D32" s="39" t="str">
        <f>IF($C$31&gt;B28,"über " &amp; B28 &amp; " EUR",IF($C$31&lt;=B2,0,VLOOKUP(C32-1,A2:B29,2)+0.01) &amp; " EUR bis " &amp; VLOOKUP(C32,A2:B29,2) &amp; " EUR")</f>
        <v>0 EUR bis 1100,99 EUR</v>
      </c>
      <c r="E32" s="42"/>
      <c r="F32" s="33">
        <f>MAX(H2:H29)</f>
        <v>1</v>
      </c>
      <c r="G32" s="33"/>
      <c r="H32" s="33"/>
      <c r="I32" s="33"/>
      <c r="J32" s="33"/>
    </row>
    <row r="33" spans="1:10" x14ac:dyDescent="0.2">
      <c r="A33" s="399" t="s">
        <v>399</v>
      </c>
      <c r="B33" s="400" t="s">
        <v>188</v>
      </c>
      <c r="C33" s="33">
        <f>AnzahlUHBerechtigte</f>
        <v>0</v>
      </c>
      <c r="D33" s="41"/>
      <c r="E33" s="41"/>
      <c r="F33" s="41"/>
      <c r="G33" s="33"/>
      <c r="H33" s="33"/>
      <c r="I33" s="33"/>
      <c r="J33" s="33"/>
    </row>
    <row r="34" spans="1:10" x14ac:dyDescent="0.2">
      <c r="A34" s="399">
        <v>1</v>
      </c>
      <c r="B34" s="401" t="s">
        <v>400</v>
      </c>
      <c r="C34" s="399">
        <f>IF($C$33&gt;=A34,IF(AND(C32&gt;=2,C32&lt;=6)=TRUE,C32-2,C32-1),$C$32)</f>
        <v>1</v>
      </c>
      <c r="D34" s="41"/>
      <c r="E34" s="41"/>
      <c r="F34" s="41"/>
      <c r="G34" s="33"/>
      <c r="H34" s="33"/>
      <c r="I34" s="33"/>
      <c r="J34" s="33"/>
    </row>
    <row r="35" spans="1:10" x14ac:dyDescent="0.2">
      <c r="A35" s="399">
        <v>2</v>
      </c>
      <c r="B35" s="401" t="s">
        <v>401</v>
      </c>
      <c r="C35" s="399">
        <f>IF($C$33&gt;=A35,IF(AND(C34&gt;=2,C34&lt;=6)=TRUE,C34-2,C34-1),C34)</f>
        <v>1</v>
      </c>
      <c r="D35" s="41"/>
      <c r="E35" s="41"/>
      <c r="F35" s="41"/>
      <c r="G35" s="33"/>
      <c r="H35" s="33"/>
      <c r="I35" s="33"/>
      <c r="J35" s="33"/>
    </row>
    <row r="36" spans="1:10" x14ac:dyDescent="0.2">
      <c r="A36" s="399">
        <v>3</v>
      </c>
      <c r="B36" s="401" t="s">
        <v>402</v>
      </c>
      <c r="C36" s="399">
        <f t="shared" ref="C36:C42" si="1">IF($C$33&gt;=A36,IF(AND(C35&gt;=2,C35&lt;=6)=TRUE,C35-2,C35-1),C35)</f>
        <v>1</v>
      </c>
      <c r="D36" s="41"/>
      <c r="E36" s="41"/>
      <c r="F36" s="41"/>
      <c r="G36" s="33"/>
      <c r="H36" s="33"/>
      <c r="I36" s="33"/>
      <c r="J36" s="33"/>
    </row>
    <row r="37" spans="1:10" x14ac:dyDescent="0.2">
      <c r="A37" s="399">
        <v>4</v>
      </c>
      <c r="B37" s="401" t="s">
        <v>403</v>
      </c>
      <c r="C37" s="399">
        <f t="shared" si="1"/>
        <v>1</v>
      </c>
      <c r="D37" s="41"/>
      <c r="E37" s="41"/>
      <c r="F37" s="41"/>
      <c r="G37" s="33"/>
      <c r="H37" s="33"/>
      <c r="I37" s="33"/>
      <c r="J37" s="33"/>
    </row>
    <row r="38" spans="1:10" x14ac:dyDescent="0.2">
      <c r="A38" s="399">
        <v>5</v>
      </c>
      <c r="B38" s="401" t="s">
        <v>404</v>
      </c>
      <c r="C38" s="399">
        <f t="shared" si="1"/>
        <v>1</v>
      </c>
      <c r="D38" s="41"/>
      <c r="E38" s="41"/>
      <c r="F38" s="41"/>
      <c r="G38" s="33"/>
      <c r="H38" s="33"/>
      <c r="I38" s="33"/>
      <c r="J38" s="33"/>
    </row>
    <row r="39" spans="1:10" x14ac:dyDescent="0.2">
      <c r="A39" s="399">
        <v>6</v>
      </c>
      <c r="B39" s="401" t="s">
        <v>405</v>
      </c>
      <c r="C39" s="399">
        <f t="shared" si="1"/>
        <v>1</v>
      </c>
      <c r="D39" s="41"/>
      <c r="E39" s="41"/>
      <c r="F39" s="41"/>
      <c r="G39" s="33"/>
      <c r="H39" s="33"/>
      <c r="I39" s="33"/>
      <c r="J39" s="33"/>
    </row>
    <row r="40" spans="1:10" x14ac:dyDescent="0.2">
      <c r="A40" s="399">
        <v>7</v>
      </c>
      <c r="B40" s="401" t="s">
        <v>406</v>
      </c>
      <c r="C40" s="399">
        <f t="shared" si="1"/>
        <v>1</v>
      </c>
      <c r="D40" s="41"/>
      <c r="E40" s="41"/>
      <c r="F40" s="41"/>
      <c r="G40" s="33"/>
      <c r="H40" s="33"/>
      <c r="I40" s="33"/>
      <c r="J40" s="33"/>
    </row>
    <row r="41" spans="1:10" x14ac:dyDescent="0.2">
      <c r="A41" s="399">
        <v>8</v>
      </c>
      <c r="B41" s="401" t="s">
        <v>407</v>
      </c>
      <c r="C41" s="399">
        <f t="shared" si="1"/>
        <v>1</v>
      </c>
      <c r="D41" s="41"/>
      <c r="E41" s="41"/>
      <c r="F41" s="41"/>
      <c r="G41" s="33"/>
      <c r="H41" s="33"/>
      <c r="I41" s="33"/>
      <c r="J41" s="33"/>
    </row>
    <row r="42" spans="1:10" x14ac:dyDescent="0.2">
      <c r="A42" s="399">
        <v>9</v>
      </c>
      <c r="B42" s="401" t="s">
        <v>408</v>
      </c>
      <c r="C42" s="399">
        <f t="shared" si="1"/>
        <v>1</v>
      </c>
      <c r="D42" s="41"/>
      <c r="E42" s="41"/>
      <c r="F42" s="41"/>
      <c r="G42" s="33"/>
      <c r="H42" s="33"/>
      <c r="I42" s="33"/>
      <c r="J42" s="33"/>
    </row>
    <row r="43" spans="1:10" x14ac:dyDescent="0.2">
      <c r="A43" s="33"/>
      <c r="B43" s="39"/>
      <c r="C43" s="33"/>
      <c r="D43" s="41"/>
      <c r="E43" s="41"/>
      <c r="F43" s="41"/>
      <c r="G43" s="33"/>
      <c r="H43" s="33"/>
      <c r="I43" s="33"/>
      <c r="J43" s="33"/>
    </row>
    <row r="44" spans="1:10" x14ac:dyDescent="0.2">
      <c r="A44" s="33"/>
      <c r="B44" s="39" t="s">
        <v>189</v>
      </c>
      <c r="C44" s="33">
        <f>IF(AND(DATEDIF(GebDatJM,KBZeitraumVon,"D")&gt;=6574,D44&gt;13)=TRUE,13,IF(D44&lt;1,1,IF(OR(D44=2,D44=3)=TRUE,1,IF(D44=4,2,D44))))</f>
        <v>1</v>
      </c>
      <c r="D44" s="43">
        <f>IF(AnzahlUHBerechtigte=0,C32,VLOOKUP(C33,A34:C42,3,FALSE))</f>
        <v>1</v>
      </c>
      <c r="E44" s="33"/>
      <c r="F44" s="41"/>
      <c r="G44" s="33"/>
      <c r="H44" s="33"/>
      <c r="I44" s="33"/>
      <c r="J44" s="33"/>
    </row>
    <row r="45" spans="1:10" x14ac:dyDescent="0.2">
      <c r="A45" s="33"/>
      <c r="B45" s="39" t="s">
        <v>179</v>
      </c>
      <c r="C45" s="33" t="e">
        <f>VLOOKUP(Dropdown_BetreutePerson,Dropdownfelder!A27:D30,4,FALSE)</f>
        <v>#N/A</v>
      </c>
      <c r="D45" s="43"/>
      <c r="E45" s="33"/>
      <c r="F45" s="41"/>
      <c r="G45" s="33"/>
      <c r="H45" s="33"/>
      <c r="I45" s="33"/>
      <c r="J45" s="33"/>
    </row>
    <row r="46" spans="1:10" x14ac:dyDescent="0.2">
      <c r="A46" s="33"/>
      <c r="B46" s="39"/>
      <c r="C46" s="352">
        <v>1</v>
      </c>
      <c r="D46" s="352">
        <v>2</v>
      </c>
      <c r="E46" s="352">
        <v>3</v>
      </c>
      <c r="F46" s="352">
        <v>4</v>
      </c>
      <c r="G46" s="33"/>
      <c r="H46" s="33"/>
      <c r="I46" s="33"/>
      <c r="J46" s="33"/>
    </row>
    <row r="47" spans="1:10" x14ac:dyDescent="0.2">
      <c r="A47" s="33"/>
      <c r="B47" s="39" t="s">
        <v>190</v>
      </c>
      <c r="C47" s="353">
        <f>VLOOKUP(C44,A2:F29,3)</f>
        <v>0</v>
      </c>
      <c r="D47" s="353">
        <f>VLOOKUP(C44,A2:F29,4)</f>
        <v>0</v>
      </c>
      <c r="E47" s="353">
        <f>VLOOKUP(C44,A2:F29,5)</f>
        <v>0</v>
      </c>
      <c r="F47" s="353">
        <f>VLOOKUP(C44,A2:F29,6)</f>
        <v>0</v>
      </c>
      <c r="G47" s="33"/>
      <c r="H47" s="33"/>
      <c r="I47" s="33"/>
      <c r="J47" s="33"/>
    </row>
    <row r="48" spans="1:10" x14ac:dyDescent="0.2">
      <c r="A48" s="33"/>
      <c r="B48" s="39"/>
      <c r="C48" s="41"/>
      <c r="D48" s="41"/>
      <c r="E48" s="41"/>
      <c r="F48" s="41"/>
      <c r="G48" s="33"/>
      <c r="H48" s="33"/>
      <c r="I48" s="33"/>
      <c r="J48" s="33"/>
    </row>
    <row r="50" spans="2:3" x14ac:dyDescent="0.2">
      <c r="B50" t="s">
        <v>244</v>
      </c>
      <c r="C50" s="20">
        <v>0.3</v>
      </c>
    </row>
    <row r="51" spans="2:3" x14ac:dyDescent="0.2">
      <c r="B51" t="s">
        <v>245</v>
      </c>
      <c r="C51" s="20">
        <v>0.3</v>
      </c>
    </row>
  </sheetData>
  <phoneticPr fontId="39" type="noConversion"/>
  <pageMargins left="0.7" right="0.7" top="0.78740157499999996" bottom="0.78740157499999996"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53"/>
  <sheetViews>
    <sheetView workbookViewId="0">
      <pane ySplit="1" topLeftCell="A2" activePane="bottomLeft" state="frozenSplit"/>
      <selection activeCell="K9" sqref="K9:M9"/>
      <selection pane="bottomLeft" activeCell="D47" sqref="D47"/>
    </sheetView>
  </sheetViews>
  <sheetFormatPr baseColWidth="10" defaultRowHeight="11.25" x14ac:dyDescent="0.2"/>
  <cols>
    <col min="1" max="1" width="6.85546875" style="137" bestFit="1" customWidth="1"/>
    <col min="2" max="2" width="30.5703125" style="134" bestFit="1" customWidth="1"/>
    <col min="3" max="6" width="13" style="135" bestFit="1" customWidth="1"/>
    <col min="7" max="7" width="13.85546875" style="135" customWidth="1"/>
    <col min="8" max="8" width="11.42578125" style="137"/>
    <col min="9" max="9" width="18.7109375" style="137" customWidth="1"/>
    <col min="10" max="16384" width="11.42578125" style="137"/>
  </cols>
  <sheetData>
    <row r="1" spans="1:9" s="113" customFormat="1" ht="22.5" x14ac:dyDescent="0.2">
      <c r="A1" s="110" t="s">
        <v>180</v>
      </c>
      <c r="B1" s="110" t="s">
        <v>63</v>
      </c>
      <c r="C1" s="111" t="s">
        <v>64</v>
      </c>
      <c r="D1" s="111" t="s">
        <v>65</v>
      </c>
      <c r="E1" s="111" t="s">
        <v>66</v>
      </c>
      <c r="F1" s="111" t="s">
        <v>67</v>
      </c>
      <c r="G1" s="112"/>
      <c r="I1" s="114" t="s">
        <v>185</v>
      </c>
    </row>
    <row r="2" spans="1:9" s="119" customFormat="1" ht="14.1" customHeight="1" x14ac:dyDescent="0.2">
      <c r="A2" s="115">
        <v>1</v>
      </c>
      <c r="B2" s="116">
        <v>1500</v>
      </c>
      <c r="C2" s="117">
        <v>342</v>
      </c>
      <c r="D2" s="117">
        <v>393</v>
      </c>
      <c r="E2" s="117">
        <v>460</v>
      </c>
      <c r="F2" s="117">
        <v>527</v>
      </c>
      <c r="G2" s="118"/>
      <c r="I2" s="120">
        <f>IF($C$17&lt;=B2,A2,"")</f>
        <v>1</v>
      </c>
    </row>
    <row r="3" spans="1:9" s="119" customFormat="1" ht="14.1" customHeight="1" x14ac:dyDescent="0.2">
      <c r="A3" s="115">
        <v>2</v>
      </c>
      <c r="B3" s="116">
        <v>1900</v>
      </c>
      <c r="C3" s="117">
        <v>360</v>
      </c>
      <c r="D3" s="117">
        <v>413</v>
      </c>
      <c r="E3" s="117">
        <v>483</v>
      </c>
      <c r="F3" s="117">
        <v>554</v>
      </c>
      <c r="G3" s="118"/>
      <c r="I3" s="120" t="str">
        <f t="shared" ref="I3:I12" si="0">IF(AND($C$17&lt;=B3,$C$17&gt;B2)=TRUE,A3,"")</f>
        <v/>
      </c>
    </row>
    <row r="4" spans="1:9" s="119" customFormat="1" ht="14.1" customHeight="1" x14ac:dyDescent="0.2">
      <c r="A4" s="115">
        <v>3</v>
      </c>
      <c r="B4" s="116">
        <v>2300</v>
      </c>
      <c r="C4" s="117">
        <v>377</v>
      </c>
      <c r="D4" s="117">
        <v>433</v>
      </c>
      <c r="E4" s="117">
        <v>506</v>
      </c>
      <c r="F4" s="117">
        <v>580</v>
      </c>
      <c r="G4" s="118"/>
      <c r="I4" s="120" t="str">
        <f t="shared" si="0"/>
        <v/>
      </c>
    </row>
    <row r="5" spans="1:9" s="119" customFormat="1" ht="14.1" customHeight="1" x14ac:dyDescent="0.2">
      <c r="A5" s="115">
        <v>4</v>
      </c>
      <c r="B5" s="116">
        <v>2700</v>
      </c>
      <c r="C5" s="117">
        <v>394</v>
      </c>
      <c r="D5" s="117">
        <v>452</v>
      </c>
      <c r="E5" s="117">
        <v>529</v>
      </c>
      <c r="F5" s="117">
        <v>607</v>
      </c>
      <c r="G5" s="118"/>
      <c r="I5" s="120" t="str">
        <f t="shared" si="0"/>
        <v/>
      </c>
    </row>
    <row r="6" spans="1:9" s="119" customFormat="1" ht="14.1" customHeight="1" x14ac:dyDescent="0.2">
      <c r="A6" s="115">
        <v>5</v>
      </c>
      <c r="B6" s="116">
        <v>3100</v>
      </c>
      <c r="C6" s="117">
        <v>411</v>
      </c>
      <c r="D6" s="117">
        <v>472</v>
      </c>
      <c r="E6" s="117">
        <v>552</v>
      </c>
      <c r="F6" s="117">
        <v>633</v>
      </c>
      <c r="G6" s="118"/>
      <c r="I6" s="120" t="str">
        <f t="shared" si="0"/>
        <v/>
      </c>
    </row>
    <row r="7" spans="1:9" s="119" customFormat="1" ht="14.1" customHeight="1" x14ac:dyDescent="0.2">
      <c r="A7" s="115">
        <v>6</v>
      </c>
      <c r="B7" s="116">
        <v>3500</v>
      </c>
      <c r="C7" s="117">
        <v>438</v>
      </c>
      <c r="D7" s="117">
        <v>504</v>
      </c>
      <c r="E7" s="117">
        <v>589</v>
      </c>
      <c r="F7" s="117">
        <v>675</v>
      </c>
      <c r="G7" s="118"/>
      <c r="I7" s="120" t="str">
        <f t="shared" si="0"/>
        <v/>
      </c>
    </row>
    <row r="8" spans="1:9" s="119" customFormat="1" ht="14.1" customHeight="1" x14ac:dyDescent="0.2">
      <c r="A8" s="115">
        <v>7</v>
      </c>
      <c r="B8" s="116">
        <v>3900</v>
      </c>
      <c r="C8" s="117">
        <v>466</v>
      </c>
      <c r="D8" s="117">
        <v>535</v>
      </c>
      <c r="E8" s="117">
        <v>626</v>
      </c>
      <c r="F8" s="117">
        <v>717</v>
      </c>
      <c r="G8" s="118"/>
      <c r="I8" s="120" t="str">
        <f t="shared" si="0"/>
        <v/>
      </c>
    </row>
    <row r="9" spans="1:9" s="119" customFormat="1" ht="14.1" customHeight="1" x14ac:dyDescent="0.2">
      <c r="A9" s="115">
        <v>8</v>
      </c>
      <c r="B9" s="116">
        <v>4300</v>
      </c>
      <c r="C9" s="117">
        <v>493</v>
      </c>
      <c r="D9" s="117">
        <v>566</v>
      </c>
      <c r="E9" s="117">
        <v>663</v>
      </c>
      <c r="F9" s="117">
        <v>759</v>
      </c>
      <c r="G9" s="118"/>
      <c r="I9" s="120" t="str">
        <f t="shared" si="0"/>
        <v/>
      </c>
    </row>
    <row r="10" spans="1:9" s="119" customFormat="1" ht="14.1" customHeight="1" x14ac:dyDescent="0.2">
      <c r="A10" s="115">
        <v>9</v>
      </c>
      <c r="B10" s="116">
        <v>4700</v>
      </c>
      <c r="C10" s="117">
        <v>520</v>
      </c>
      <c r="D10" s="117">
        <v>598</v>
      </c>
      <c r="E10" s="117">
        <v>700</v>
      </c>
      <c r="F10" s="117">
        <v>802</v>
      </c>
      <c r="G10" s="118"/>
      <c r="I10" s="120" t="str">
        <f t="shared" si="0"/>
        <v/>
      </c>
    </row>
    <row r="11" spans="1:9" s="119" customFormat="1" ht="14.1" customHeight="1" x14ac:dyDescent="0.2">
      <c r="A11" s="115">
        <v>10</v>
      </c>
      <c r="B11" s="116">
        <v>5100</v>
      </c>
      <c r="C11" s="117">
        <v>548</v>
      </c>
      <c r="D11" s="117">
        <v>629</v>
      </c>
      <c r="E11" s="117">
        <v>736</v>
      </c>
      <c r="F11" s="117">
        <v>844</v>
      </c>
      <c r="G11" s="118"/>
      <c r="I11" s="120" t="str">
        <f t="shared" si="0"/>
        <v/>
      </c>
    </row>
    <row r="12" spans="1:9" s="119" customFormat="1" ht="14.1" customHeight="1" x14ac:dyDescent="0.2">
      <c r="A12" s="115">
        <v>11</v>
      </c>
      <c r="B12" s="121">
        <v>999999</v>
      </c>
      <c r="C12" s="118" t="s">
        <v>68</v>
      </c>
      <c r="D12" s="118" t="s">
        <v>68</v>
      </c>
      <c r="E12" s="118" t="s">
        <v>68</v>
      </c>
      <c r="F12" s="118" t="s">
        <v>68</v>
      </c>
      <c r="G12" s="118"/>
      <c r="I12" s="120" t="str">
        <f t="shared" si="0"/>
        <v/>
      </c>
    </row>
    <row r="13" spans="1:9" s="119" customFormat="1" ht="14.1" customHeight="1" x14ac:dyDescent="0.2">
      <c r="A13" s="122"/>
      <c r="B13" s="123"/>
      <c r="C13" s="124"/>
      <c r="D13" s="124"/>
      <c r="E13" s="124"/>
      <c r="F13" s="124"/>
      <c r="G13" s="124"/>
      <c r="I13" s="125"/>
    </row>
    <row r="14" spans="1:9" s="119" customFormat="1" ht="14.1" customHeight="1" x14ac:dyDescent="0.2">
      <c r="A14" s="122"/>
      <c r="B14" s="123"/>
      <c r="C14" s="124"/>
      <c r="D14" s="124"/>
      <c r="E14" s="124"/>
      <c r="F14" s="124"/>
      <c r="G14" s="124"/>
      <c r="I14" s="125"/>
    </row>
    <row r="15" spans="1:9" s="119" customFormat="1" ht="14.1" customHeight="1" x14ac:dyDescent="0.2">
      <c r="A15" s="122"/>
      <c r="B15" s="123"/>
      <c r="C15" s="124"/>
      <c r="D15" s="124"/>
      <c r="E15" s="124"/>
      <c r="F15" s="124"/>
      <c r="G15" s="124"/>
      <c r="I15" s="125"/>
    </row>
    <row r="16" spans="1:9" s="119" customFormat="1" ht="14.1" customHeight="1" x14ac:dyDescent="0.2">
      <c r="A16" s="122"/>
      <c r="B16" s="123"/>
      <c r="C16" s="124"/>
      <c r="D16" s="124"/>
      <c r="E16" s="124"/>
      <c r="F16" s="124"/>
      <c r="G16" s="124"/>
      <c r="I16" s="125"/>
    </row>
    <row r="17" spans="2:15" s="119" customFormat="1" ht="14.1" customHeight="1" x14ac:dyDescent="0.2">
      <c r="B17" s="126" t="s">
        <v>186</v>
      </c>
      <c r="C17" s="127">
        <f>Schmälerungsverbot!U73</f>
        <v>0</v>
      </c>
      <c r="D17" s="128"/>
      <c r="E17" s="128"/>
      <c r="F17" s="128"/>
      <c r="G17" s="128"/>
    </row>
    <row r="18" spans="2:15" s="119" customFormat="1" ht="14.1" customHeight="1" x14ac:dyDescent="0.2">
      <c r="B18" s="126" t="s">
        <v>187</v>
      </c>
      <c r="C18" s="119">
        <f>MAX(I2:I12)</f>
        <v>1</v>
      </c>
      <c r="D18" s="126" t="str">
        <f>IF($C$17&gt;B11,"über " &amp; B11 &amp; ",00 €",IF($C$17&lt;=B2,0,VLOOKUP(C18-1,A2:B12,2)+1) &amp; " - " &amp; VLOOKUP(C18,A2:B12,2) &amp; " €")</f>
        <v>0 - 1500 €</v>
      </c>
      <c r="E18" s="129"/>
      <c r="G18" s="129"/>
    </row>
    <row r="19" spans="2:15" s="119" customFormat="1" ht="14.1" customHeight="1" x14ac:dyDescent="0.2">
      <c r="B19" s="126" t="s">
        <v>69</v>
      </c>
      <c r="C19" s="119">
        <f>Schmälerungsverbot!I77</f>
        <v>0</v>
      </c>
      <c r="D19" s="128"/>
      <c r="E19" s="128"/>
      <c r="F19" s="128"/>
      <c r="G19" s="128"/>
    </row>
    <row r="20" spans="2:15" s="119" customFormat="1" ht="14.1" customHeight="1" x14ac:dyDescent="0.2">
      <c r="B20" s="126" t="s">
        <v>189</v>
      </c>
      <c r="C20" s="119">
        <f>Schmälerungsverbot!N80</f>
        <v>0</v>
      </c>
      <c r="D20" s="130"/>
      <c r="F20" s="128"/>
      <c r="G20" s="128"/>
    </row>
    <row r="21" spans="2:15" s="119" customFormat="1" ht="14.1" customHeight="1" x14ac:dyDescent="0.2">
      <c r="B21" s="126" t="s">
        <v>70</v>
      </c>
      <c r="C21" s="118" t="e">
        <f>VLOOKUP($C$20,A2:G12,3)</f>
        <v>#N/A</v>
      </c>
      <c r="D21" s="118" t="e">
        <f>VLOOKUP($C$20,A2:G12,4)</f>
        <v>#N/A</v>
      </c>
      <c r="E21" s="118" t="e">
        <f>VLOOKUP($C$20,A2:G12,5)</f>
        <v>#N/A</v>
      </c>
      <c r="F21" s="118" t="e">
        <f>VLOOKUP($C$20,A2:G12,6)</f>
        <v>#N/A</v>
      </c>
      <c r="G21" s="118"/>
    </row>
    <row r="22" spans="2:15" s="119" customFormat="1" ht="15.95" customHeight="1" x14ac:dyDescent="0.2">
      <c r="B22" s="126"/>
      <c r="C22" s="128"/>
      <c r="D22" s="128"/>
      <c r="E22" s="128"/>
      <c r="F22" s="128"/>
      <c r="G22" s="128"/>
      <c r="H22" s="131"/>
      <c r="I22" s="131"/>
      <c r="J22" s="131"/>
      <c r="K22" s="131"/>
      <c r="L22" s="131"/>
      <c r="M22" s="131"/>
      <c r="N22" s="131"/>
      <c r="O22" s="131"/>
    </row>
    <row r="23" spans="2:15" s="119" customFormat="1" x14ac:dyDescent="0.2">
      <c r="B23" s="126"/>
      <c r="C23" s="119" t="s">
        <v>71</v>
      </c>
      <c r="D23" s="119" t="s">
        <v>72</v>
      </c>
      <c r="E23" s="128" t="s">
        <v>73</v>
      </c>
      <c r="F23" s="128"/>
    </row>
    <row r="24" spans="2:15" s="119" customFormat="1" x14ac:dyDescent="0.2">
      <c r="B24" s="126" t="s">
        <v>74</v>
      </c>
      <c r="C24" s="119" t="str">
        <f>IF(Schmälerungsverbot!GebDatW1&lt;&gt;"",KBZeitraumVon-Schmälerungsverbot!GebDatW1,"")</f>
        <v/>
      </c>
      <c r="D24" s="119" t="str">
        <f t="shared" ref="D24:D33" si="1">IF(C24&lt;&gt;"",IF(C24&gt;=6574,4,IF(C24&gt;4382,3,IF(C24&gt;2191,2,1))),"")</f>
        <v/>
      </c>
      <c r="E24" s="124">
        <f t="shared" ref="E24:E33" si="2">IF(D24=1,$C$21,IF(D24=2,$D$21,IF(D24=3,$E$21,IF(D24=4,$F$21,0))))</f>
        <v>0</v>
      </c>
      <c r="F24" s="128"/>
      <c r="G24" s="129"/>
      <c r="J24" s="132"/>
      <c r="K24" s="132"/>
      <c r="L24" s="132"/>
    </row>
    <row r="25" spans="2:15" s="119" customFormat="1" x14ac:dyDescent="0.2">
      <c r="B25" s="126" t="s">
        <v>75</v>
      </c>
      <c r="C25" s="119" t="str">
        <f>IF(Schmälerungsverbot!GebDatW2&lt;&gt;"",KBZeitraumVon-Schmälerungsverbot!GebDatW2,"")</f>
        <v/>
      </c>
      <c r="D25" s="119" t="str">
        <f t="shared" si="1"/>
        <v/>
      </c>
      <c r="E25" s="124">
        <f t="shared" si="2"/>
        <v>0</v>
      </c>
      <c r="F25" s="128"/>
      <c r="G25" s="129"/>
      <c r="J25" s="132"/>
      <c r="K25" s="132"/>
      <c r="L25" s="132"/>
    </row>
    <row r="26" spans="2:15" s="119" customFormat="1" x14ac:dyDescent="0.2">
      <c r="B26" s="126" t="s">
        <v>76</v>
      </c>
      <c r="C26" s="119" t="str">
        <f>IF(Schmälerungsverbot!GebDatW3&lt;&gt;"",KBZeitraumVon-Schmälerungsverbot!GebDatW3,"")</f>
        <v/>
      </c>
      <c r="D26" s="119" t="str">
        <f t="shared" si="1"/>
        <v/>
      </c>
      <c r="E26" s="124">
        <f t="shared" si="2"/>
        <v>0</v>
      </c>
      <c r="F26" s="128"/>
      <c r="G26" s="133"/>
      <c r="J26" s="132"/>
      <c r="K26" s="132"/>
      <c r="L26" s="132"/>
    </row>
    <row r="27" spans="2:15" s="119" customFormat="1" x14ac:dyDescent="0.2">
      <c r="B27" s="126" t="s">
        <v>77</v>
      </c>
      <c r="C27" s="119" t="str">
        <f>IF(Schmälerungsverbot!GebDatW4&lt;&gt;"",KBZeitraumVon-Schmälerungsverbot!GebDatW4,"")</f>
        <v/>
      </c>
      <c r="D27" s="119" t="str">
        <f t="shared" si="1"/>
        <v/>
      </c>
      <c r="E27" s="124">
        <f t="shared" si="2"/>
        <v>0</v>
      </c>
      <c r="F27" s="128"/>
      <c r="G27" s="133"/>
      <c r="J27" s="132"/>
      <c r="K27" s="132"/>
      <c r="L27" s="132"/>
    </row>
    <row r="28" spans="2:15" s="119" customFormat="1" x14ac:dyDescent="0.2">
      <c r="B28" s="126" t="s">
        <v>78</v>
      </c>
      <c r="C28" s="119" t="str">
        <f>IF(Schmälerungsverbot!GebDatW5&lt;&gt;"",KBZeitraumVon-Schmälerungsverbot!GebDatW5,"")</f>
        <v/>
      </c>
      <c r="D28" s="119" t="str">
        <f t="shared" si="1"/>
        <v/>
      </c>
      <c r="E28" s="124">
        <f t="shared" si="2"/>
        <v>0</v>
      </c>
      <c r="F28" s="128"/>
      <c r="G28" s="133"/>
      <c r="J28" s="132"/>
      <c r="K28" s="132"/>
      <c r="L28" s="132"/>
    </row>
    <row r="29" spans="2:15" s="119" customFormat="1" x14ac:dyDescent="0.2">
      <c r="B29" s="126" t="s">
        <v>79</v>
      </c>
      <c r="C29" s="119" t="str">
        <f>IF(Schmälerungsverbot!GebDatW6&lt;&gt;"",KBZeitraumVon-Schmälerungsverbot!GebDatW6,"")</f>
        <v/>
      </c>
      <c r="D29" s="119" t="str">
        <f t="shared" si="1"/>
        <v/>
      </c>
      <c r="E29" s="124">
        <f t="shared" si="2"/>
        <v>0</v>
      </c>
      <c r="F29" s="128"/>
      <c r="G29" s="133"/>
      <c r="J29" s="132"/>
      <c r="K29" s="132"/>
      <c r="L29" s="132"/>
    </row>
    <row r="30" spans="2:15" s="119" customFormat="1" x14ac:dyDescent="0.2">
      <c r="B30" s="126" t="s">
        <v>80</v>
      </c>
      <c r="C30" s="119" t="str">
        <f>IF(Schmälerungsverbot!GebDatW7&lt;&gt;"",KBZeitraumVon-Schmälerungsverbot!GebDatW7,"")</f>
        <v/>
      </c>
      <c r="D30" s="119" t="str">
        <f t="shared" si="1"/>
        <v/>
      </c>
      <c r="E30" s="124">
        <f t="shared" si="2"/>
        <v>0</v>
      </c>
      <c r="F30" s="128"/>
      <c r="G30" s="133"/>
      <c r="J30" s="132"/>
      <c r="K30" s="132"/>
      <c r="L30" s="132"/>
    </row>
    <row r="31" spans="2:15" s="119" customFormat="1" x14ac:dyDescent="0.2">
      <c r="B31" s="126" t="s">
        <v>81</v>
      </c>
      <c r="C31" s="119" t="str">
        <f>IF(Schmälerungsverbot!GebDatW8&lt;&gt;"",KBZeitraumVon-Schmälerungsverbot!GebDatW8,"")</f>
        <v/>
      </c>
      <c r="D31" s="119" t="str">
        <f t="shared" si="1"/>
        <v/>
      </c>
      <c r="E31" s="124">
        <f t="shared" si="2"/>
        <v>0</v>
      </c>
      <c r="F31" s="128"/>
      <c r="G31" s="133"/>
      <c r="J31" s="132"/>
      <c r="K31" s="132"/>
      <c r="L31" s="132"/>
    </row>
    <row r="32" spans="2:15" s="119" customFormat="1" x14ac:dyDescent="0.2">
      <c r="B32" s="126" t="s">
        <v>82</v>
      </c>
      <c r="C32" s="119" t="str">
        <f>IF(Schmälerungsverbot!GebDatW9&lt;&gt;"",KBZeitraumVon-Schmälerungsverbot!GebDatW9,"")</f>
        <v/>
      </c>
      <c r="D32" s="119" t="str">
        <f t="shared" si="1"/>
        <v/>
      </c>
      <c r="E32" s="124">
        <f t="shared" si="2"/>
        <v>0</v>
      </c>
      <c r="F32" s="128"/>
      <c r="G32" s="133"/>
      <c r="J32" s="132"/>
      <c r="K32" s="132"/>
      <c r="L32" s="132"/>
    </row>
    <row r="33" spans="2:12" s="119" customFormat="1" x14ac:dyDescent="0.2">
      <c r="B33" s="126" t="s">
        <v>83</v>
      </c>
      <c r="C33" s="119" t="str">
        <f>IF(Schmälerungsverbot!GebDatW10&lt;&gt;"",KBZeitraumVon-Schmälerungsverbot!GebDatW10,"")</f>
        <v/>
      </c>
      <c r="D33" s="119" t="str">
        <f t="shared" si="1"/>
        <v/>
      </c>
      <c r="E33" s="124">
        <f t="shared" si="2"/>
        <v>0</v>
      </c>
      <c r="F33" s="128"/>
      <c r="G33" s="133"/>
      <c r="J33" s="132"/>
      <c r="K33" s="132"/>
      <c r="L33" s="132"/>
    </row>
    <row r="34" spans="2:12" s="119" customFormat="1" x14ac:dyDescent="0.2">
      <c r="B34" s="126"/>
      <c r="C34" s="128"/>
      <c r="D34" s="128"/>
      <c r="E34" s="124"/>
      <c r="F34" s="128"/>
      <c r="G34" s="133"/>
      <c r="J34" s="132"/>
      <c r="K34" s="132"/>
      <c r="L34" s="132"/>
    </row>
    <row r="35" spans="2:12" x14ac:dyDescent="0.2">
      <c r="B35" s="134" t="s">
        <v>84</v>
      </c>
      <c r="D35" s="136">
        <v>150</v>
      </c>
    </row>
    <row r="37" spans="2:12" x14ac:dyDescent="0.2">
      <c r="B37" s="402" t="s">
        <v>414</v>
      </c>
      <c r="C37" s="138"/>
      <c r="D37" s="139">
        <v>1080</v>
      </c>
    </row>
    <row r="38" spans="2:12" x14ac:dyDescent="0.2">
      <c r="B38" s="402" t="s">
        <v>415</v>
      </c>
      <c r="C38" s="138"/>
      <c r="D38" s="139" t="s">
        <v>86</v>
      </c>
    </row>
    <row r="39" spans="2:12" x14ac:dyDescent="0.2">
      <c r="B39" s="402" t="s">
        <v>416</v>
      </c>
      <c r="C39" s="138"/>
      <c r="D39" s="139">
        <v>880</v>
      </c>
    </row>
    <row r="40" spans="2:12" x14ac:dyDescent="0.2">
      <c r="B40" s="367" t="s">
        <v>0</v>
      </c>
      <c r="C40" s="402" t="s">
        <v>417</v>
      </c>
      <c r="D40" s="139">
        <v>1200</v>
      </c>
    </row>
    <row r="41" spans="2:12" x14ac:dyDescent="0.2">
      <c r="B41" s="367" t="s">
        <v>413</v>
      </c>
      <c r="C41" s="403" t="s">
        <v>418</v>
      </c>
      <c r="D41" s="139">
        <v>1200</v>
      </c>
    </row>
    <row r="42" spans="2:12" x14ac:dyDescent="0.2">
      <c r="B42" s="367" t="s">
        <v>419</v>
      </c>
      <c r="C42" s="403" t="s">
        <v>420</v>
      </c>
      <c r="D42" s="139">
        <v>1300</v>
      </c>
    </row>
    <row r="43" spans="2:12" x14ac:dyDescent="0.2">
      <c r="B43" s="134" t="s">
        <v>85</v>
      </c>
      <c r="D43" s="136">
        <v>192</v>
      </c>
    </row>
    <row r="44" spans="2:12" x14ac:dyDescent="0.2">
      <c r="B44" s="134" t="s">
        <v>87</v>
      </c>
      <c r="D44" s="136">
        <v>192</v>
      </c>
    </row>
    <row r="45" spans="2:12" x14ac:dyDescent="0.2">
      <c r="B45" s="134" t="s">
        <v>88</v>
      </c>
      <c r="D45" s="136">
        <v>198</v>
      </c>
    </row>
    <row r="46" spans="2:12" x14ac:dyDescent="0.2">
      <c r="B46" s="134" t="s">
        <v>89</v>
      </c>
      <c r="D46" s="136">
        <v>223</v>
      </c>
    </row>
    <row r="49" spans="2:5" x14ac:dyDescent="0.2">
      <c r="B49" s="367"/>
      <c r="C49" s="371" t="s">
        <v>71</v>
      </c>
      <c r="D49" s="371" t="s">
        <v>72</v>
      </c>
      <c r="E49" s="371" t="s">
        <v>73</v>
      </c>
    </row>
    <row r="50" spans="2:5" x14ac:dyDescent="0.2">
      <c r="B50" s="372" t="s">
        <v>1</v>
      </c>
      <c r="C50" s="371" t="str">
        <f>IF(Schmälerungsverbot!E149&lt;&gt;"",KBZeitraumVon-Schmälerungsverbot!E149,"")</f>
        <v/>
      </c>
      <c r="D50" s="373" t="str">
        <f>IF(C50&lt;&gt;"",IF(C50&gt;=6574,4,0),"")</f>
        <v/>
      </c>
      <c r="E50" s="373">
        <f>IF(D50=4,F21,0)</f>
        <v>0</v>
      </c>
    </row>
    <row r="51" spans="2:5" x14ac:dyDescent="0.2">
      <c r="B51" s="372" t="s">
        <v>2</v>
      </c>
      <c r="C51" s="371" t="str">
        <f>IF(Schmälerungsverbot!E150&lt;&gt;"",KBZeitraumVon-Schmälerungsverbot!E150,"")</f>
        <v/>
      </c>
      <c r="D51" s="373" t="str">
        <f>IF(C51&lt;&gt;"",IF(C51&gt;=6574,4,0),"")</f>
        <v/>
      </c>
      <c r="E51" s="373">
        <f>IF(D51=4,F21,0)</f>
        <v>0</v>
      </c>
    </row>
    <row r="52" spans="2:5" x14ac:dyDescent="0.2">
      <c r="B52" s="372" t="s">
        <v>3</v>
      </c>
      <c r="C52" s="371" t="str">
        <f>IF(Schmälerungsverbot!E151&lt;&gt;"",KBZeitraumVon-Schmälerungsverbot!E151,"")</f>
        <v/>
      </c>
      <c r="D52" s="373" t="str">
        <f>IF(C52&lt;&gt;"",IF(C52&gt;=6574,4,0),"")</f>
        <v/>
      </c>
      <c r="E52" s="373">
        <f>IF(D52=4,F21,0)</f>
        <v>0</v>
      </c>
    </row>
    <row r="53" spans="2:5" x14ac:dyDescent="0.2">
      <c r="B53" s="372" t="s">
        <v>4</v>
      </c>
      <c r="C53" s="371" t="str">
        <f>IF(Schmälerungsverbot!E152&lt;&gt;"",KBZeitraumVon-Schmälerungsverbot!E152,"")</f>
        <v/>
      </c>
      <c r="D53" s="373" t="str">
        <f>IF(C53&lt;&gt;"",IF(C53&gt;=6574,4,0),"")</f>
        <v/>
      </c>
      <c r="E53" s="373">
        <f>IF(D53=4,F21,0)</f>
        <v>0</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52</vt:i4>
      </vt:variant>
    </vt:vector>
  </HeadingPairs>
  <TitlesOfParts>
    <vt:vector size="60"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2015-07-03T06:43:50Z</cp:lastPrinted>
  <dcterms:created xsi:type="dcterms:W3CDTF">2013-09-06T07:22:40Z</dcterms:created>
  <dcterms:modified xsi:type="dcterms:W3CDTF">2018-03-20T10:46:42Z</dcterms:modified>
</cp:coreProperties>
</file>