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R:\HE_Kinder- und Jugendhilfe\01 KJH Hessen\01 Gremien\00 Jugendhilfekommission\01 Sitzungen\2026\2026-03-20\"/>
    </mc:Choice>
  </mc:AlternateContent>
  <xr:revisionPtr revIDLastSave="0" documentId="13_ncr:1_{AAD4B2D9-0BAD-4DD8-9131-C82C0E41AEC1}" xr6:coauthVersionLast="47" xr6:coauthVersionMax="47" xr10:uidLastSave="{00000000-0000-0000-0000-000000000000}"/>
  <workbookProtection workbookPassword="CE28" lockStructure="1"/>
  <bookViews>
    <workbookView xWindow="-108" yWindow="-108" windowWidth="23256" windowHeight="12576" tabRatio="757" xr2:uid="{00000000-000D-0000-FFFF-FFFF00000000}"/>
  </bookViews>
  <sheets>
    <sheet name="Kalkulationsblatt" sheetId="7" r:id="rId1"/>
    <sheet name="PK Zusammenfassung" sheetId="1" r:id="rId2"/>
    <sheet name="PK AN-Brutto" sheetId="2" r:id="rId3"/>
    <sheet name="PK Zeitzuschläge" sheetId="3" r:id="rId4"/>
    <sheet name="PK AG_Brutto" sheetId="4" r:id="rId5"/>
    <sheet name="Anlagenverzeichnis" sheetId="8" r:id="rId6"/>
  </sheets>
  <definedNames>
    <definedName name="_xlnm.Print_Area" localSheetId="0">Kalkulationsblatt!$A$1:$F$132</definedName>
    <definedName name="_xlnm.Print_Area" localSheetId="4">'PK AG_Brutto'!$A$2:$L$47,'PK AG_Brutto'!$N$32:$O$57</definedName>
    <definedName name="_xlnm.Print_Area" localSheetId="2">'PK AN-Brutto'!$A$5:$Y$50</definedName>
    <definedName name="_xlnm.Print_Area" localSheetId="3">'PK Zeitzuschläge'!$A$2:$M$51</definedName>
    <definedName name="_xlnm.Print_Area" localSheetId="1">'PK Zusammenfassung'!$A$1:$L$52</definedName>
    <definedName name="_xlnm.Print_Titles" localSheetId="4">'PK AG_Brutto'!$2:$3</definedName>
    <definedName name="_xlnm.Print_Titles" localSheetId="2">'PK AN-Brutto'!$A:$C,'PK AN-Brutto'!$5:$6</definedName>
    <definedName name="_xlnm.Print_Titles" localSheetId="1">'PK Zusammenfassung'!$1:$7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 l="1"/>
  <c r="W48" i="2"/>
  <c r="W47" i="2"/>
  <c r="W46" i="2"/>
  <c r="W40" i="2"/>
  <c r="W39" i="2"/>
  <c r="W34" i="2"/>
  <c r="W23" i="2"/>
  <c r="W22" i="2"/>
  <c r="W14" i="2"/>
  <c r="W13" i="2"/>
  <c r="W12" i="2"/>
  <c r="B4" i="8" l="1"/>
  <c r="U13" i="2" l="1"/>
  <c r="U12" i="2"/>
  <c r="B3" i="8" l="1"/>
  <c r="H37" i="3" l="1"/>
  <c r="B34" i="3" l="1"/>
  <c r="D34" i="3"/>
  <c r="I36" i="1"/>
  <c r="I23" i="1"/>
  <c r="I13" i="1"/>
  <c r="C34" i="2"/>
  <c r="I34" i="2"/>
  <c r="J34" i="2"/>
  <c r="Q34" i="2" s="1"/>
  <c r="R34" i="2" s="1"/>
  <c r="U34" i="2"/>
  <c r="C23" i="2"/>
  <c r="I23" i="2"/>
  <c r="J23" i="2"/>
  <c r="Q23" i="2" s="1"/>
  <c r="R23" i="2" s="1"/>
  <c r="U23" i="2"/>
  <c r="C13" i="2"/>
  <c r="I13" i="2"/>
  <c r="J13" i="2" s="1"/>
  <c r="G34" i="3" s="1"/>
  <c r="H34" i="3" s="1"/>
  <c r="C31" i="4"/>
  <c r="J31" i="4"/>
  <c r="C20" i="4"/>
  <c r="J20" i="4"/>
  <c r="C10" i="4"/>
  <c r="J10" i="4"/>
  <c r="X34" i="2" l="1"/>
  <c r="X23" i="2"/>
  <c r="M47" i="4"/>
  <c r="M40" i="4"/>
  <c r="M39" i="4"/>
  <c r="M33" i="4"/>
  <c r="M22" i="4"/>
  <c r="M14" i="4"/>
  <c r="M13" i="4"/>
  <c r="M46" i="1"/>
  <c r="F24" i="8"/>
  <c r="F23" i="8"/>
  <c r="F22" i="8"/>
  <c r="F21" i="8"/>
  <c r="F20" i="8"/>
  <c r="F19" i="8"/>
  <c r="F18" i="8"/>
  <c r="F16" i="8"/>
  <c r="D24" i="8"/>
  <c r="D23" i="8"/>
  <c r="D22" i="8"/>
  <c r="D21" i="8"/>
  <c r="D20" i="8"/>
  <c r="D19" i="8"/>
  <c r="D18" i="8"/>
  <c r="D16" i="8"/>
  <c r="D15" i="8"/>
  <c r="F15" i="8" s="1"/>
  <c r="D14" i="8"/>
  <c r="F14" i="8" s="1"/>
  <c r="D13" i="8"/>
  <c r="F13" i="8" s="1"/>
  <c r="D12" i="8"/>
  <c r="F12" i="8" s="1"/>
  <c r="D11" i="8"/>
  <c r="F11" i="8" s="1"/>
  <c r="D10" i="8"/>
  <c r="F10" i="8" s="1"/>
  <c r="D17" i="8"/>
  <c r="F17" i="8" s="1"/>
  <c r="I14" i="1"/>
  <c r="J32" i="4"/>
  <c r="J30" i="4"/>
  <c r="J29" i="4"/>
  <c r="J26" i="4"/>
  <c r="J25" i="4"/>
  <c r="J46" i="4"/>
  <c r="J45" i="4"/>
  <c r="J44" i="4"/>
  <c r="J43" i="4"/>
  <c r="J38" i="4"/>
  <c r="J37" i="4"/>
  <c r="J36" i="4"/>
  <c r="J21" i="4"/>
  <c r="J19" i="4"/>
  <c r="J18" i="4"/>
  <c r="J17" i="4"/>
  <c r="J12" i="4"/>
  <c r="J11" i="4"/>
  <c r="J9" i="4"/>
  <c r="J8" i="4"/>
  <c r="J7" i="4"/>
  <c r="J6" i="4"/>
  <c r="Y34" i="2" l="1"/>
  <c r="D31" i="4"/>
  <c r="D20" i="4"/>
  <c r="Y23" i="2"/>
  <c r="J36" i="2"/>
  <c r="J50" i="2"/>
  <c r="J43" i="2"/>
  <c r="J42" i="2"/>
  <c r="J25" i="2"/>
  <c r="J17" i="2"/>
  <c r="J16" i="2"/>
  <c r="G31" i="4" l="1"/>
  <c r="H31" i="4" s="1"/>
  <c r="M31" i="4" s="1"/>
  <c r="L31" i="4" s="1"/>
  <c r="E36" i="1" s="1"/>
  <c r="G36" i="1" s="1"/>
  <c r="M36" i="1" s="1"/>
  <c r="F31" i="4"/>
  <c r="G20" i="4"/>
  <c r="H20" i="4" s="1"/>
  <c r="M20" i="4" s="1"/>
  <c r="L20" i="4" s="1"/>
  <c r="E23" i="1" s="1"/>
  <c r="F20" i="4"/>
  <c r="U48" i="2"/>
  <c r="U47" i="2"/>
  <c r="U40" i="2"/>
  <c r="U39" i="2"/>
  <c r="U32" i="2"/>
  <c r="U22" i="2"/>
  <c r="G23" i="1" l="1"/>
  <c r="M23" i="1" s="1"/>
  <c r="J49" i="2"/>
  <c r="J48" i="2"/>
  <c r="I48" i="2"/>
  <c r="J47" i="2"/>
  <c r="I47" i="2"/>
  <c r="I46" i="2"/>
  <c r="J46" i="2" s="1"/>
  <c r="J41" i="2"/>
  <c r="J40" i="2"/>
  <c r="I40" i="2"/>
  <c r="J39" i="2"/>
  <c r="I39" i="2"/>
  <c r="J35" i="2"/>
  <c r="I33" i="2"/>
  <c r="J33" i="2" s="1"/>
  <c r="I32" i="2"/>
  <c r="J32" i="2" s="1"/>
  <c r="I29" i="2"/>
  <c r="J29" i="2" s="1"/>
  <c r="I28" i="2"/>
  <c r="J28" i="2" s="1"/>
  <c r="J24" i="2"/>
  <c r="J22" i="2"/>
  <c r="I22" i="2"/>
  <c r="I21" i="2"/>
  <c r="J21" i="2" s="1"/>
  <c r="I20" i="2"/>
  <c r="J20" i="2" s="1"/>
  <c r="J15" i="2"/>
  <c r="I14" i="2"/>
  <c r="J14" i="2" s="1"/>
  <c r="I12" i="2"/>
  <c r="J12" i="2" s="1"/>
  <c r="I11" i="2"/>
  <c r="J11" i="2" s="1"/>
  <c r="I10" i="2"/>
  <c r="J10" i="2" s="1"/>
  <c r="I9" i="2"/>
  <c r="J9" i="2" s="1"/>
  <c r="T18" i="4" l="1"/>
  <c r="S22" i="4" s="1"/>
  <c r="C47" i="4" l="1"/>
  <c r="C46" i="4"/>
  <c r="C45" i="4"/>
  <c r="C44" i="4"/>
  <c r="C40" i="4"/>
  <c r="C39" i="4"/>
  <c r="C38" i="4"/>
  <c r="C37" i="4"/>
  <c r="C33" i="4"/>
  <c r="C32" i="4"/>
  <c r="C30" i="4"/>
  <c r="C29" i="4"/>
  <c r="C22" i="4"/>
  <c r="C21" i="4"/>
  <c r="C19" i="4"/>
  <c r="C18" i="4"/>
  <c r="C17" i="4"/>
  <c r="C14" i="4"/>
  <c r="C13" i="4"/>
  <c r="C12" i="4"/>
  <c r="C11" i="4"/>
  <c r="C9" i="4"/>
  <c r="C8" i="4"/>
  <c r="C7" i="4"/>
  <c r="C6" i="4"/>
  <c r="C36" i="2"/>
  <c r="C35" i="2"/>
  <c r="C17" i="2"/>
  <c r="C16" i="2"/>
  <c r="C15" i="2"/>
  <c r="C14" i="2"/>
  <c r="C12" i="2"/>
  <c r="C11" i="2"/>
  <c r="C10" i="2"/>
  <c r="C9" i="2"/>
  <c r="C25" i="2"/>
  <c r="C24" i="2"/>
  <c r="C22" i="2"/>
  <c r="C21" i="2"/>
  <c r="C20" i="2"/>
  <c r="C43" i="2"/>
  <c r="C42" i="2"/>
  <c r="C41" i="2"/>
  <c r="C40" i="2"/>
  <c r="C50" i="2"/>
  <c r="C49" i="2"/>
  <c r="C43" i="4"/>
  <c r="C36" i="4"/>
  <c r="C26" i="4"/>
  <c r="C25" i="4"/>
  <c r="C48" i="2"/>
  <c r="C47" i="2"/>
  <c r="C46" i="2"/>
  <c r="C39" i="2"/>
  <c r="C33" i="2"/>
  <c r="C32" i="2"/>
  <c r="C29" i="2"/>
  <c r="C28" i="2"/>
  <c r="B31" i="3" l="1"/>
  <c r="B32" i="3"/>
  <c r="B33" i="3"/>
  <c r="B30" i="3"/>
  <c r="T28" i="4" l="1"/>
  <c r="S23" i="4"/>
  <c r="S19" i="4"/>
  <c r="S20" i="4" l="1"/>
  <c r="S21" i="4"/>
  <c r="S24" i="4" l="1"/>
  <c r="S25" i="4"/>
  <c r="T25" i="4" s="1"/>
  <c r="Q50" i="2"/>
  <c r="R50" i="2" s="1"/>
  <c r="Q49" i="2"/>
  <c r="R49" i="2" s="1"/>
  <c r="Q48" i="2"/>
  <c r="R48" i="2" s="1"/>
  <c r="Q47" i="2"/>
  <c r="R47" i="2" s="1"/>
  <c r="Q46" i="2"/>
  <c r="Q43" i="2"/>
  <c r="R43" i="2" s="1"/>
  <c r="Q42" i="2"/>
  <c r="Q41" i="2"/>
  <c r="R41" i="2" s="1"/>
  <c r="Q40" i="2"/>
  <c r="R40" i="2" s="1"/>
  <c r="Q39" i="2"/>
  <c r="R39" i="2" s="1"/>
  <c r="Q36" i="2"/>
  <c r="Q35" i="2"/>
  <c r="R35" i="2" s="1"/>
  <c r="Q33" i="2"/>
  <c r="Q32" i="2"/>
  <c r="R32" i="2" s="1"/>
  <c r="W32" i="2" s="1"/>
  <c r="Q29" i="2"/>
  <c r="Q28" i="2"/>
  <c r="Q25" i="2"/>
  <c r="R25" i="2" s="1"/>
  <c r="Q24" i="2"/>
  <c r="R24" i="2" s="1"/>
  <c r="Q22" i="2"/>
  <c r="R22" i="2" s="1"/>
  <c r="Q21" i="2"/>
  <c r="Q20" i="2"/>
  <c r="Q17" i="2"/>
  <c r="Q16" i="2"/>
  <c r="Q15" i="2"/>
  <c r="R15" i="2" s="1"/>
  <c r="Q14" i="2"/>
  <c r="U14" i="2" s="1"/>
  <c r="R28" i="2" l="1"/>
  <c r="W28" i="2" s="1"/>
  <c r="U28" i="2"/>
  <c r="R29" i="2"/>
  <c r="W29" i="2" s="1"/>
  <c r="U29" i="2"/>
  <c r="R33" i="2"/>
  <c r="U33" i="2"/>
  <c r="R20" i="2"/>
  <c r="W20" i="2" s="1"/>
  <c r="U20" i="2"/>
  <c r="R21" i="2"/>
  <c r="W21" i="2" s="1"/>
  <c r="U21" i="2"/>
  <c r="X21" i="2" s="1"/>
  <c r="Y21" i="2" s="1"/>
  <c r="R46" i="2"/>
  <c r="U46" i="2"/>
  <c r="R14" i="2"/>
  <c r="X14" i="2" s="1"/>
  <c r="Y14" i="2" s="1"/>
  <c r="R42" i="2"/>
  <c r="X42" i="2" s="1"/>
  <c r="Y42" i="2" s="1"/>
  <c r="R17" i="2"/>
  <c r="X17" i="2" s="1"/>
  <c r="Y17" i="2" s="1"/>
  <c r="R16" i="2"/>
  <c r="X16" i="2" s="1"/>
  <c r="Y16" i="2" s="1"/>
  <c r="R36" i="2"/>
  <c r="X36" i="2" s="1"/>
  <c r="Y36" i="2" s="1"/>
  <c r="T27" i="4"/>
  <c r="T26" i="4"/>
  <c r="X20" i="2"/>
  <c r="Y20" i="2" s="1"/>
  <c r="X22" i="2"/>
  <c r="Y22" i="2" s="1"/>
  <c r="X39" i="2"/>
  <c r="Y39" i="2" s="1"/>
  <c r="X41" i="2"/>
  <c r="Y41" i="2" s="1"/>
  <c r="X35" i="2"/>
  <c r="Y35" i="2" s="1"/>
  <c r="X40" i="2"/>
  <c r="Y40" i="2" s="1"/>
  <c r="X48" i="2"/>
  <c r="Y48" i="2" s="1"/>
  <c r="X49" i="2"/>
  <c r="X24" i="2"/>
  <c r="Y24" i="2" s="1"/>
  <c r="X47" i="2"/>
  <c r="Y47" i="2" s="1"/>
  <c r="X15" i="2"/>
  <c r="Y15" i="2" s="1"/>
  <c r="X29" i="2"/>
  <c r="Y29" i="2" s="1"/>
  <c r="X50" i="2"/>
  <c r="X43" i="2"/>
  <c r="Y43" i="2" s="1"/>
  <c r="X25" i="2"/>
  <c r="Y25" i="2" s="1"/>
  <c r="X32" i="2"/>
  <c r="Y32" i="2" s="1"/>
  <c r="X28" i="2"/>
  <c r="Y28" i="2" s="1"/>
  <c r="I50" i="1"/>
  <c r="I49" i="1"/>
  <c r="I48" i="1"/>
  <c r="I42" i="1"/>
  <c r="J40" i="1" s="1"/>
  <c r="L40" i="1" s="1"/>
  <c r="I41" i="1"/>
  <c r="I35" i="1"/>
  <c r="I34" i="1"/>
  <c r="J33" i="1" s="1"/>
  <c r="I30" i="1"/>
  <c r="I29" i="1"/>
  <c r="J28" i="1" s="1"/>
  <c r="I22" i="1"/>
  <c r="I21" i="1"/>
  <c r="I20" i="1"/>
  <c r="I12" i="1"/>
  <c r="I11" i="1"/>
  <c r="I10" i="1"/>
  <c r="I9" i="1"/>
  <c r="W33" i="2" l="1"/>
  <c r="X33" i="2" s="1"/>
  <c r="Y33" i="2" s="1"/>
  <c r="X46" i="2"/>
  <c r="Y46" i="2" s="1"/>
  <c r="J47" i="1"/>
  <c r="L47" i="1" s="1"/>
  <c r="L33" i="1"/>
  <c r="L28" i="1"/>
  <c r="J19" i="1"/>
  <c r="L19" i="1" s="1"/>
  <c r="J8" i="1"/>
  <c r="L8" i="1" s="1"/>
  <c r="D47" i="4"/>
  <c r="L47" i="4" s="1"/>
  <c r="Y50" i="2"/>
  <c r="D46" i="4"/>
  <c r="L46" i="4" s="1"/>
  <c r="Y49" i="2"/>
  <c r="F25" i="8"/>
  <c r="F27" i="8" s="1"/>
  <c r="E103" i="7" s="1"/>
  <c r="D25" i="8"/>
  <c r="D27" i="8" s="1"/>
  <c r="E115" i="7"/>
  <c r="E79" i="7"/>
  <c r="E65" i="7"/>
  <c r="E22" i="7"/>
  <c r="F105" i="7" l="1"/>
  <c r="F101" i="7"/>
  <c r="F79" i="7"/>
  <c r="F59" i="7"/>
  <c r="F99" i="7"/>
  <c r="F75" i="7"/>
  <c r="F57" i="7"/>
  <c r="F97" i="7"/>
  <c r="F73" i="7"/>
  <c r="F55" i="7"/>
  <c r="F95" i="7"/>
  <c r="F71" i="7"/>
  <c r="F53" i="7"/>
  <c r="F42" i="7"/>
  <c r="F115" i="7"/>
  <c r="F113" i="7"/>
  <c r="F111" i="7"/>
  <c r="F93" i="7"/>
  <c r="F69" i="7"/>
  <c r="F77" i="7"/>
  <c r="F65" i="7"/>
  <c r="F63" i="7"/>
  <c r="F103" i="7"/>
  <c r="F61" i="7"/>
  <c r="E81" i="7"/>
  <c r="F81" i="7" s="1"/>
  <c r="G46" i="4"/>
  <c r="H46" i="4" s="1"/>
  <c r="M46" i="4" s="1"/>
  <c r="E46" i="4"/>
  <c r="E107" i="7"/>
  <c r="F107" i="7" s="1"/>
  <c r="E117" i="7" l="1"/>
  <c r="F117" i="7" s="1"/>
  <c r="O14" i="4"/>
  <c r="E119" i="7" l="1"/>
  <c r="F119" i="7" s="1"/>
  <c r="F3" i="4"/>
  <c r="F4" i="4" s="1"/>
  <c r="T24" i="4"/>
  <c r="T29" i="4" s="1"/>
  <c r="T30" i="4" s="1"/>
  <c r="E52" i="1"/>
  <c r="G52" i="1" s="1"/>
  <c r="M52" i="1" s="1"/>
  <c r="E51" i="1"/>
  <c r="G51" i="1" s="1"/>
  <c r="M51" i="1" s="1"/>
  <c r="D45" i="4" l="1"/>
  <c r="D44" i="4"/>
  <c r="D43" i="4"/>
  <c r="D40" i="4"/>
  <c r="L40" i="4" s="1"/>
  <c r="D39" i="4"/>
  <c r="L39" i="4" s="1"/>
  <c r="D38" i="4"/>
  <c r="D37" i="4"/>
  <c r="D36" i="4"/>
  <c r="D33" i="4"/>
  <c r="L33" i="4" s="1"/>
  <c r="D32" i="4"/>
  <c r="D30" i="4"/>
  <c r="D29" i="4"/>
  <c r="D26" i="4"/>
  <c r="D25" i="4"/>
  <c r="D22" i="4"/>
  <c r="L22" i="4" s="1"/>
  <c r="D21" i="4"/>
  <c r="L21" i="4" s="1"/>
  <c r="D19" i="4"/>
  <c r="D18" i="4"/>
  <c r="D17" i="4"/>
  <c r="E16" i="3"/>
  <c r="F16" i="3" s="1"/>
  <c r="J16" i="3" s="1"/>
  <c r="K16" i="3" s="1"/>
  <c r="E5" i="3"/>
  <c r="F5" i="3" s="1"/>
  <c r="J5" i="3" s="1"/>
  <c r="E6" i="3"/>
  <c r="F6" i="3" s="1"/>
  <c r="J6" i="3" s="1"/>
  <c r="E7" i="3"/>
  <c r="F7" i="3" s="1"/>
  <c r="J7" i="3" s="1"/>
  <c r="E8" i="3"/>
  <c r="F8" i="3" s="1"/>
  <c r="J8" i="3" s="1"/>
  <c r="E9" i="3"/>
  <c r="F9" i="3" s="1"/>
  <c r="J9" i="3" s="1"/>
  <c r="E10" i="3"/>
  <c r="F10" i="3" s="1"/>
  <c r="J10" i="3" s="1"/>
  <c r="E11" i="3"/>
  <c r="F11" i="3" s="1"/>
  <c r="J11" i="3" s="1"/>
  <c r="E12" i="3"/>
  <c r="F12" i="3" s="1"/>
  <c r="J12" i="3" s="1"/>
  <c r="E13" i="3"/>
  <c r="F13" i="3" s="1"/>
  <c r="J13" i="3" s="1"/>
  <c r="E14" i="3"/>
  <c r="F14" i="3" s="1"/>
  <c r="E15" i="3"/>
  <c r="F15" i="3" s="1"/>
  <c r="J15" i="3" s="1"/>
  <c r="K15" i="3" s="1"/>
  <c r="N15" i="3" s="1"/>
  <c r="E17" i="3"/>
  <c r="F17" i="3" s="1"/>
  <c r="J17" i="3" s="1"/>
  <c r="K17" i="3" s="1"/>
  <c r="N17" i="3" s="1"/>
  <c r="E18" i="3"/>
  <c r="F18" i="3" s="1"/>
  <c r="J18" i="3" s="1"/>
  <c r="K18" i="3" s="1"/>
  <c r="E19" i="3"/>
  <c r="F19" i="3" s="1"/>
  <c r="J19" i="3" s="1"/>
  <c r="K19" i="3" s="1"/>
  <c r="E20" i="3"/>
  <c r="F20" i="3" s="1"/>
  <c r="J20" i="3" s="1"/>
  <c r="K20" i="3" s="1"/>
  <c r="E21" i="3"/>
  <c r="F21" i="3" s="1"/>
  <c r="J21" i="3" s="1"/>
  <c r="E22" i="3"/>
  <c r="F22" i="3" s="1"/>
  <c r="J22" i="3" s="1"/>
  <c r="K22" i="3" s="1"/>
  <c r="E23" i="3"/>
  <c r="F23" i="3" s="1"/>
  <c r="J23" i="3" s="1"/>
  <c r="K23" i="3" s="1"/>
  <c r="D31" i="3"/>
  <c r="D32" i="3"/>
  <c r="D33" i="3"/>
  <c r="D30" i="3"/>
  <c r="G33" i="3"/>
  <c r="H33" i="3" s="1"/>
  <c r="N23" i="3" l="1"/>
  <c r="M23" i="3"/>
  <c r="N19" i="3"/>
  <c r="M19" i="3"/>
  <c r="N18" i="3"/>
  <c r="M18" i="3"/>
  <c r="N16" i="3"/>
  <c r="M16" i="3"/>
  <c r="N22" i="3"/>
  <c r="M22" i="3"/>
  <c r="N20" i="3"/>
  <c r="M20" i="3"/>
  <c r="G17" i="4"/>
  <c r="H17" i="4" s="1"/>
  <c r="M17" i="4" s="1"/>
  <c r="L17" i="4" s="1"/>
  <c r="E20" i="1" s="1"/>
  <c r="L37" i="4"/>
  <c r="G37" i="4"/>
  <c r="H37" i="4" s="1"/>
  <c r="M37" i="4" s="1"/>
  <c r="G43" i="4"/>
  <c r="H43" i="4" s="1"/>
  <c r="M43" i="4" s="1"/>
  <c r="G18" i="4"/>
  <c r="H18" i="4" s="1"/>
  <c r="M18" i="4" s="1"/>
  <c r="L44" i="4"/>
  <c r="G44" i="4"/>
  <c r="H44" i="4" s="1"/>
  <c r="M44" i="4" s="1"/>
  <c r="L19" i="4"/>
  <c r="G19" i="4"/>
  <c r="H19" i="4" s="1"/>
  <c r="M19" i="4" s="1"/>
  <c r="L45" i="4"/>
  <c r="G45" i="4"/>
  <c r="H45" i="4" s="1"/>
  <c r="M45" i="4" s="1"/>
  <c r="L36" i="4"/>
  <c r="G36" i="4"/>
  <c r="H36" i="4" s="1"/>
  <c r="M36" i="4" s="1"/>
  <c r="G31" i="3"/>
  <c r="H31" i="3" s="1"/>
  <c r="G26" i="4"/>
  <c r="H26" i="4" s="1"/>
  <c r="M26" i="4" s="1"/>
  <c r="G25" i="4"/>
  <c r="H25" i="4" s="1"/>
  <c r="M25" i="4" s="1"/>
  <c r="G29" i="4"/>
  <c r="H29" i="4" s="1"/>
  <c r="M29" i="4" s="1"/>
  <c r="G30" i="4"/>
  <c r="H30" i="4" s="1"/>
  <c r="M30" i="4" s="1"/>
  <c r="G38" i="4"/>
  <c r="H38" i="4" s="1"/>
  <c r="M38" i="4" s="1"/>
  <c r="L38" i="4" s="1"/>
  <c r="G32" i="4"/>
  <c r="H32" i="4" s="1"/>
  <c r="M32" i="4" s="1"/>
  <c r="L32" i="4" s="1"/>
  <c r="G21" i="4"/>
  <c r="H21" i="4" s="1"/>
  <c r="M21" i="4" s="1"/>
  <c r="F45" i="4"/>
  <c r="F17" i="4"/>
  <c r="F19" i="4"/>
  <c r="F26" i="4"/>
  <c r="F29" i="4"/>
  <c r="F18" i="4"/>
  <c r="F30" i="4"/>
  <c r="F36" i="4"/>
  <c r="F25" i="4"/>
  <c r="F37" i="4"/>
  <c r="F43" i="4"/>
  <c r="F44" i="4"/>
  <c r="G32" i="3"/>
  <c r="H32" i="3" s="1"/>
  <c r="G30" i="3"/>
  <c r="H30" i="3" s="1"/>
  <c r="E32" i="4"/>
  <c r="E38" i="4"/>
  <c r="E21" i="4"/>
  <c r="E38" i="1"/>
  <c r="G38" i="1" s="1"/>
  <c r="M38" i="1" s="1"/>
  <c r="E44" i="1"/>
  <c r="G44" i="1" s="1"/>
  <c r="M44" i="1" s="1"/>
  <c r="E45" i="1"/>
  <c r="G45" i="1" s="1"/>
  <c r="M45" i="1" s="1"/>
  <c r="E25" i="1"/>
  <c r="G25" i="1" s="1"/>
  <c r="M25" i="1" s="1"/>
  <c r="L25" i="4" l="1"/>
  <c r="E29" i="1" s="1"/>
  <c r="G29" i="1" s="1"/>
  <c r="M29" i="1" s="1"/>
  <c r="L29" i="4"/>
  <c r="E34" i="1" s="1"/>
  <c r="L30" i="4"/>
  <c r="E35" i="1" s="1"/>
  <c r="G35" i="1" s="1"/>
  <c r="M35" i="1" s="1"/>
  <c r="L26" i="4"/>
  <c r="E30" i="1" s="1"/>
  <c r="G30" i="1" s="1"/>
  <c r="M30" i="1" s="1"/>
  <c r="L18" i="4"/>
  <c r="E21" i="1" s="1"/>
  <c r="G21" i="1" s="1"/>
  <c r="M21" i="1" s="1"/>
  <c r="L43" i="4"/>
  <c r="E48" i="1" s="1"/>
  <c r="H35" i="3"/>
  <c r="E37" i="1"/>
  <c r="G37" i="1" s="1"/>
  <c r="M37" i="1" s="1"/>
  <c r="M17" i="3"/>
  <c r="M15" i="3"/>
  <c r="E49" i="1"/>
  <c r="G49" i="1" s="1"/>
  <c r="M49" i="1" s="1"/>
  <c r="E50" i="1"/>
  <c r="G50" i="1" s="1"/>
  <c r="M50" i="1" s="1"/>
  <c r="E43" i="1"/>
  <c r="G43" i="1" s="1"/>
  <c r="M43" i="1" s="1"/>
  <c r="E42" i="1"/>
  <c r="G42" i="1" s="1"/>
  <c r="M42" i="1" s="1"/>
  <c r="E41" i="1"/>
  <c r="G41" i="1" s="1"/>
  <c r="M41" i="1" s="1"/>
  <c r="E24" i="1"/>
  <c r="G24" i="1" s="1"/>
  <c r="M24" i="1" s="1"/>
  <c r="E22" i="1"/>
  <c r="G22" i="1" s="1"/>
  <c r="M22" i="1" s="1"/>
  <c r="G20" i="1"/>
  <c r="M20" i="1" s="1"/>
  <c r="K7" i="3" l="1"/>
  <c r="N7" i="3" s="1"/>
  <c r="K10" i="3"/>
  <c r="N10" i="3" s="1"/>
  <c r="K11" i="3"/>
  <c r="N11" i="3" s="1"/>
  <c r="K12" i="3"/>
  <c r="N12" i="3" s="1"/>
  <c r="K9" i="3"/>
  <c r="N9" i="3" s="1"/>
  <c r="K8" i="3"/>
  <c r="N8" i="3" s="1"/>
  <c r="K13" i="3"/>
  <c r="K5" i="3"/>
  <c r="N5" i="3" s="1"/>
  <c r="K6" i="3"/>
  <c r="N6" i="3" s="1"/>
  <c r="K21" i="3"/>
  <c r="N21" i="3" s="1"/>
  <c r="G34" i="1"/>
  <c r="M34" i="1" s="1"/>
  <c r="G48" i="1"/>
  <c r="M48" i="1" s="1"/>
  <c r="D13" i="4"/>
  <c r="L13" i="4" s="1"/>
  <c r="D12" i="4"/>
  <c r="D14" i="4"/>
  <c r="L14" i="4" s="1"/>
  <c r="D11" i="4"/>
  <c r="M9" i="3" l="1"/>
  <c r="M8" i="3"/>
  <c r="M10" i="3"/>
  <c r="M11" i="3"/>
  <c r="M12" i="3"/>
  <c r="M7" i="3"/>
  <c r="N13" i="3"/>
  <c r="M13" i="3"/>
  <c r="M47" i="1"/>
  <c r="H47" i="1" s="1"/>
  <c r="E40" i="7" s="1"/>
  <c r="F40" i="7" s="1"/>
  <c r="M5" i="3"/>
  <c r="M40" i="1"/>
  <c r="H40" i="1" s="1"/>
  <c r="E38" i="7" s="1"/>
  <c r="F38" i="7" s="1"/>
  <c r="M33" i="1"/>
  <c r="M28" i="1"/>
  <c r="M19" i="1"/>
  <c r="H19" i="1" s="1"/>
  <c r="E32" i="7" s="1"/>
  <c r="F32" i="7" s="1"/>
  <c r="M6" i="3"/>
  <c r="M21" i="3"/>
  <c r="G11" i="4"/>
  <c r="H11" i="4" s="1"/>
  <c r="M11" i="4" s="1"/>
  <c r="G12" i="4"/>
  <c r="H12" i="4" s="1"/>
  <c r="M12" i="4" s="1"/>
  <c r="F11" i="4"/>
  <c r="E12" i="4"/>
  <c r="E17" i="1"/>
  <c r="E16" i="1"/>
  <c r="L12" i="4" l="1"/>
  <c r="E15" i="1" s="1"/>
  <c r="L11" i="4"/>
  <c r="G16" i="1"/>
  <c r="M16" i="1" s="1"/>
  <c r="G17" i="1"/>
  <c r="M17" i="1" s="1"/>
  <c r="M31" i="3"/>
  <c r="G15" i="1" l="1"/>
  <c r="M15" i="1" s="1"/>
  <c r="E14" i="1"/>
  <c r="G14" i="1" l="1"/>
  <c r="M14" i="1" s="1"/>
  <c r="J14" i="3" l="1"/>
  <c r="J24" i="3" l="1"/>
  <c r="B25" i="3" s="1"/>
  <c r="K14" i="3"/>
  <c r="N14" i="3" s="1"/>
  <c r="M14" i="3" l="1"/>
  <c r="M24" i="3" s="1"/>
  <c r="M30" i="3" s="1"/>
  <c r="M34" i="3" s="1"/>
  <c r="D50" i="3" l="1"/>
  <c r="G50" i="3" s="1"/>
  <c r="H50" i="3" s="1"/>
  <c r="H51" i="3" s="1"/>
  <c r="M36" i="3" l="1"/>
  <c r="M38" i="3" s="1"/>
  <c r="O12" i="2" s="1"/>
  <c r="Q12" i="2" s="1"/>
  <c r="R12" i="2" s="1"/>
  <c r="X12" i="2" s="1"/>
  <c r="O13" i="2" l="1"/>
  <c r="Q13" i="2" s="1"/>
  <c r="O11" i="2"/>
  <c r="Q11" i="2" s="1"/>
  <c r="O10" i="2"/>
  <c r="Q10" i="2" s="1"/>
  <c r="U10" i="2" s="1"/>
  <c r="O9" i="2"/>
  <c r="Q9" i="2" s="1"/>
  <c r="U9" i="2" s="1"/>
  <c r="D9" i="4"/>
  <c r="Y12" i="2"/>
  <c r="R11" i="2" l="1"/>
  <c r="U11" i="2"/>
  <c r="R10" i="2"/>
  <c r="W10" i="2" s="1"/>
  <c r="R13" i="2"/>
  <c r="X13" i="2" s="1"/>
  <c r="R9" i="2"/>
  <c r="G9" i="4"/>
  <c r="H9" i="4" s="1"/>
  <c r="M9" i="4" s="1"/>
  <c r="F9" i="4"/>
  <c r="W9" i="2" l="1"/>
  <c r="X9" i="2" s="1"/>
  <c r="W11" i="2"/>
  <c r="X11" i="2" s="1"/>
  <c r="X10" i="2"/>
  <c r="Y10" i="2" s="1"/>
  <c r="L9" i="4"/>
  <c r="E12" i="1" s="1"/>
  <c r="Y13" i="2"/>
  <c r="D10" i="4"/>
  <c r="D6" i="4" l="1"/>
  <c r="F6" i="4" s="1"/>
  <c r="Y9" i="2"/>
  <c r="Y11" i="2"/>
  <c r="D8" i="4"/>
  <c r="D7" i="4"/>
  <c r="F7" i="4" s="1"/>
  <c r="G12" i="1"/>
  <c r="M12" i="1" s="1"/>
  <c r="F10" i="4"/>
  <c r="G10" i="4"/>
  <c r="H10" i="4" s="1"/>
  <c r="M10" i="4" s="1"/>
  <c r="G6" i="4" l="1"/>
  <c r="H6" i="4" s="1"/>
  <c r="M6" i="4" s="1"/>
  <c r="L6" i="4" s="1"/>
  <c r="E9" i="1" s="1"/>
  <c r="F8" i="4"/>
  <c r="G8" i="4"/>
  <c r="H8" i="4" s="1"/>
  <c r="M8" i="4" s="1"/>
  <c r="L8" i="4" s="1"/>
  <c r="E11" i="1" s="1"/>
  <c r="G11" i="1" s="1"/>
  <c r="M11" i="1" s="1"/>
  <c r="G7" i="4"/>
  <c r="H7" i="4" s="1"/>
  <c r="M7" i="4" s="1"/>
  <c r="L7" i="4" s="1"/>
  <c r="E10" i="1" s="1"/>
  <c r="L10" i="4"/>
  <c r="E13" i="1" s="1"/>
  <c r="G10" i="1" l="1"/>
  <c r="M10" i="1" s="1"/>
  <c r="G13" i="1"/>
  <c r="M13" i="1" s="1"/>
  <c r="G9" i="1"/>
  <c r="M9" i="1" s="1"/>
  <c r="M8" i="1" l="1"/>
  <c r="H8" i="1" s="1"/>
  <c r="H28" i="1" l="1"/>
  <c r="E34" i="7" s="1"/>
  <c r="F34" i="7" s="1"/>
  <c r="H33" i="1"/>
  <c r="E36" i="7" s="1"/>
  <c r="F36" i="7" s="1"/>
  <c r="E30" i="7"/>
  <c r="F30" i="7" s="1"/>
  <c r="E44" i="7" l="1"/>
  <c r="H54" i="1"/>
  <c r="O11" i="1" l="1"/>
  <c r="I42" i="7" s="1"/>
  <c r="J43" i="7" s="1"/>
  <c r="E83" i="7"/>
  <c r="F83" i="7" s="1"/>
  <c r="F44" i="7"/>
  <c r="E122" i="7"/>
  <c r="F122" i="7" s="1"/>
  <c r="J4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Stefan Gerland</author>
  </authors>
  <commentList>
    <comment ref="B13" authorId="0" shapeId="0" xr:uid="{00000000-0006-0000-0000-000001000000}">
      <text>
        <r>
          <rPr>
            <b/>
            <sz val="8"/>
            <color indexed="81"/>
            <rFont val="Tahoma"/>
            <family val="2"/>
          </rPr>
          <t>z.B. e.V., Stiftung, GmbH</t>
        </r>
        <r>
          <rPr>
            <sz val="8"/>
            <color indexed="81"/>
            <rFont val="Tahoma"/>
            <family val="2"/>
          </rPr>
          <t xml:space="preserve">
</t>
        </r>
      </text>
    </comment>
    <comment ref="E13" authorId="0" shapeId="0" xr:uid="{00000000-0006-0000-0000-000002000000}">
      <text>
        <r>
          <rPr>
            <b/>
            <sz val="8"/>
            <color indexed="81"/>
            <rFont val="Tahoma"/>
            <family val="2"/>
          </rPr>
          <t>AWO, bpa, Caritas, DPWV, DRK, DW, JW, VPK, Kreis, Stadt u.a.</t>
        </r>
        <r>
          <rPr>
            <sz val="8"/>
            <color indexed="81"/>
            <rFont val="Tahoma"/>
            <family val="2"/>
          </rPr>
          <t xml:space="preserve">
</t>
        </r>
      </text>
    </comment>
    <comment ref="B15" authorId="0" shapeId="0" xr:uid="{00000000-0006-0000-0000-000003000000}">
      <text>
        <r>
          <rPr>
            <b/>
            <sz val="8"/>
            <color indexed="81"/>
            <rFont val="Tahoma"/>
            <family val="2"/>
          </rPr>
          <t>Gemäß § 8 der Rahmenver-einbarung</t>
        </r>
        <r>
          <rPr>
            <sz val="8"/>
            <color indexed="81"/>
            <rFont val="Tahoma"/>
            <family val="2"/>
          </rPr>
          <t xml:space="preserve">
</t>
        </r>
      </text>
    </comment>
    <comment ref="E15" authorId="0" shapeId="0" xr:uid="{00000000-0006-0000-0000-000004000000}">
      <text>
        <r>
          <rPr>
            <b/>
            <sz val="8"/>
            <color indexed="81"/>
            <rFont val="Tahoma"/>
            <family val="2"/>
          </rPr>
          <t>Genaue Bezeichnung der Leistungsart z. B.:
Stationäre Heimerziehung, Betreutes Wohnen, Außenwohngruppe etc.</t>
        </r>
        <r>
          <rPr>
            <sz val="8"/>
            <color indexed="81"/>
            <rFont val="Tahoma"/>
            <family val="2"/>
          </rPr>
          <t xml:space="preserve">
</t>
        </r>
      </text>
    </comment>
    <comment ref="E17" authorId="0" shapeId="0" xr:uid="{00000000-0006-0000-0000-000005000000}">
      <text>
        <r>
          <rPr>
            <b/>
            <sz val="8"/>
            <color indexed="81"/>
            <rFont val="Tahoma"/>
            <family val="2"/>
          </rPr>
          <t>Als Platzzahl einer Einrichtung werden die in der Leistungsbeschreibung abgestimmten Plätze zugrunde gelegt. Die Bestimmungen des § 45 SGB VIII sind zu beachten.</t>
        </r>
      </text>
    </comment>
    <comment ref="B19" authorId="0" shapeId="0" xr:uid="{00000000-0006-0000-0000-000006000000}">
      <text>
        <r>
          <rPr>
            <b/>
            <sz val="8"/>
            <color indexed="81"/>
            <rFont val="Tahoma"/>
            <family val="2"/>
          </rPr>
          <t>Hier sind die Basistage für die Ermittlung der Betreuungstage anzugeben, z. B.:
365 Tage stationär;
250 Tage teilstationär</t>
        </r>
        <r>
          <rPr>
            <sz val="8"/>
            <color indexed="81"/>
            <rFont val="Tahoma"/>
            <family val="2"/>
          </rPr>
          <t xml:space="preserve">
</t>
        </r>
      </text>
    </comment>
    <comment ref="E19" authorId="0" shapeId="0" xr:uid="{00000000-0006-0000-0000-000007000000}">
      <text>
        <r>
          <rPr>
            <b/>
            <sz val="8"/>
            <color indexed="81"/>
            <rFont val="Tahoma"/>
            <family val="2"/>
          </rPr>
          <t>Der Auslastungsgrad wird für den Kalkulations-zeitraum vereinbart.
Das wirtschaftliche Risiko der Einrichtungen und Dienste ist bei der Bemessung des Auslastungsgrades zu berücksichtigen, um ihnen wirtschaftliches</t>
        </r>
        <r>
          <rPr>
            <sz val="8"/>
            <color indexed="81"/>
            <rFont val="Tahoma"/>
            <family val="2"/>
          </rPr>
          <t xml:space="preserve">
</t>
        </r>
        <r>
          <rPr>
            <b/>
            <sz val="8"/>
            <color indexed="81"/>
            <rFont val="Tahoma"/>
            <family val="2"/>
          </rPr>
          <t>Handeln zu ermöglichen.</t>
        </r>
      </text>
    </comment>
    <comment ref="E21" authorId="0" shapeId="0" xr:uid="{00000000-0006-0000-0000-000008000000}">
      <text>
        <r>
          <rPr>
            <b/>
            <sz val="8"/>
            <color indexed="81"/>
            <rFont val="Tahoma"/>
            <family val="2"/>
          </rPr>
          <t>Die Berechnungstage werden wie folgt ermittelt:
Platzzahl x 365 Tage x Auslastungsgrad = 
Berechnungstage
Bei teilstationären Einrichtungen kann abweichend
hiervon folgende Regelung gewählt werden:
Platzzahl x 250 Tage x Auslastungsgrad =
Berechnungstage</t>
        </r>
        <r>
          <rPr>
            <sz val="8"/>
            <color indexed="81"/>
            <rFont val="Tahoma"/>
            <family val="2"/>
          </rPr>
          <t xml:space="preserve">
</t>
        </r>
      </text>
    </comment>
    <comment ref="E25" authorId="0" shapeId="0" xr:uid="{00000000-0006-0000-0000-000009000000}">
      <text>
        <r>
          <rPr>
            <b/>
            <sz val="8"/>
            <color indexed="81"/>
            <rFont val="Tahoma"/>
            <family val="2"/>
          </rPr>
          <t xml:space="preserve">Einzusetzen sind die prospektiv er-mittelten Aufwendungen für den zugrunde gelegten Kalkulationszeitraum.
</t>
        </r>
        <r>
          <rPr>
            <sz val="8"/>
            <color indexed="81"/>
            <rFont val="Tahoma"/>
            <family val="2"/>
          </rPr>
          <t xml:space="preserve">
</t>
        </r>
      </text>
    </comment>
    <comment ref="F25" authorId="0" shapeId="0" xr:uid="{00000000-0006-0000-0000-00000A000000}">
      <text>
        <r>
          <rPr>
            <b/>
            <sz val="8"/>
            <color indexed="81"/>
            <rFont val="Tahoma"/>
            <family val="2"/>
          </rPr>
          <t>Kalkulatorischer Aufwand bei Berechnungstag:</t>
        </r>
        <r>
          <rPr>
            <sz val="8"/>
            <color indexed="81"/>
            <rFont val="Tahoma"/>
            <family val="2"/>
          </rPr>
          <t xml:space="preserve">
</t>
        </r>
        <r>
          <rPr>
            <b/>
            <sz val="8"/>
            <color indexed="81"/>
            <rFont val="Tahoma"/>
            <family val="2"/>
          </rPr>
          <t>Sie sind zu ermitteln durch Division. Divisor ist die Zahl bei Nr. (11) eingesetzten Berechnungstage.
Beträgt die 2. Stelle nach dem Komma vier und weniger, dann bleibt sie unberücksichtigt; beträgt sie fünf und mehr, dann ist die 1. Stelle nach dem Komma aufzurunden.</t>
        </r>
      </text>
    </comment>
    <comment ref="B29" authorId="1" shapeId="0" xr:uid="{00000000-0006-0000-0000-00000B000000}">
      <text>
        <r>
          <rPr>
            <b/>
            <sz val="8"/>
            <color indexed="81"/>
            <rFont val="Tahoma"/>
            <family val="2"/>
          </rPr>
          <t>Der Personalaufwand ist nach den vorgegebenen Bereiche zu gliedern.
a) Bruttogehälter, Bruttolöhne, Sonderzuwendungen und Lohn- und
    Kirchensteuer, wenn der Dienstgeber die Bauschalversteuerung zu
    seinen Lasten gewählt hat;
b) Arbeitgeberanteile zu den Sozialversicherungen (Krankenkasse,
    Angestellten-, Arbeiterrenten- und Arbeitslosenversicherung, Pflege-
    Versicherung);
c) Beiträge zur zusätzlichen Altersversorgung einschließlich Pensions-
   kassen, entsprechend dem Tarifwerk des jeweiligen Trägers. Für Träger,
   die nicht an eine öffentliche rechtliche Altersversorgung gebunden sind, ist
   Richtwert der ZVK-Beitrag für den öffentlichen Dienst;
d) Trennungsentschädigungen, Umzugsvergütungen, nach hessischen Lan-
    desregelungen.</t>
        </r>
      </text>
    </comment>
    <comment ref="B42" authorId="0" shapeId="0" xr:uid="{00000000-0006-0000-0000-00000C000000}">
      <text>
        <r>
          <rPr>
            <b/>
            <sz val="8"/>
            <color indexed="81"/>
            <rFont val="Tahoma"/>
            <family val="2"/>
          </rPr>
          <t>Personalnebenkosten sind z. B.:
a) Beiträge zur Berufsgenossenschaft
b) Ausgleichsabgabe
c) Reisekosten, Fahrgelder, Tagungsbeiträge
d) Berufsbezogene Fortbildung und Supervision
e) Personalwerbung und Personalbeschaffung
f) Gesetzlich erforderliche gesundheitliche Unter-
    suchungs- u. Vorbeugemaßnahmen
g) Beihilfen nach hessischem Beihilferecht</t>
        </r>
        <r>
          <rPr>
            <sz val="8"/>
            <color indexed="81"/>
            <rFont val="Tahoma"/>
            <family val="2"/>
          </rPr>
          <t xml:space="preserve">
</t>
        </r>
      </text>
    </comment>
    <comment ref="B44" authorId="0" shapeId="0" xr:uid="{00000000-0006-0000-0000-00000D000000}">
      <text>
        <r>
          <rPr>
            <b/>
            <sz val="8"/>
            <color indexed="81"/>
            <rFont val="Tahoma"/>
            <family val="2"/>
          </rPr>
          <t>Die Obergrenze der Personalaufwendungen der Ein-
richtungen richtet sich nach den Bestimmungen des
Kommunaltarifs (Eingruppierungsmerkmale/Vergütungs-
tarif etc.)</t>
        </r>
        <r>
          <rPr>
            <sz val="8"/>
            <color indexed="81"/>
            <rFont val="Tahoma"/>
            <family val="2"/>
          </rPr>
          <t xml:space="preserve">
</t>
        </r>
      </text>
    </comment>
    <comment ref="F44" authorId="1" shapeId="0" xr:uid="{00000000-0006-0000-0000-00000E000000}">
      <text>
        <r>
          <rPr>
            <sz val="8"/>
            <color indexed="81"/>
            <rFont val="Tahoma"/>
            <family val="2"/>
          </rPr>
          <t xml:space="preserve">Die Berechnung nach Position (13) der Erläuterungen zum Kalkulationsblatt (siehe Anmerkung Zelle F25) ist maßgeblich. Es kann sein, dass es zu Abweichungen kommt bei einer Addition der vorangehenden Werte
!
</t>
        </r>
      </text>
    </comment>
    <comment ref="B53" authorId="0" shapeId="0" xr:uid="{00000000-0006-0000-0000-00000F000000}">
      <text>
        <r>
          <rPr>
            <b/>
            <sz val="8"/>
            <color indexed="81"/>
            <rFont val="Tahoma"/>
            <family val="2"/>
          </rPr>
          <t>Aufwendungen für Verpflegung, Lebensmittel und Fremdversorgung (ohne Nahrungsmittelaufwand für Mitarbeiter)</t>
        </r>
        <r>
          <rPr>
            <sz val="8"/>
            <color indexed="81"/>
            <rFont val="Tahoma"/>
            <family val="2"/>
          </rPr>
          <t xml:space="preserve">
</t>
        </r>
      </text>
    </comment>
    <comment ref="B55" authorId="0" shapeId="0" xr:uid="{00000000-0006-0000-0000-000010000000}">
      <text>
        <r>
          <rPr>
            <b/>
            <sz val="8"/>
            <color indexed="81"/>
            <rFont val="Tahoma"/>
            <family val="2"/>
          </rPr>
          <t>a)   Wasser
b)   Energie, Heizmaterial jeder Art (fester Brennstoffe, Öl, Gas)</t>
        </r>
        <r>
          <rPr>
            <sz val="8"/>
            <color indexed="81"/>
            <rFont val="Tahoma"/>
            <family val="2"/>
          </rPr>
          <t xml:space="preserve">
</t>
        </r>
        <r>
          <rPr>
            <b/>
            <sz val="8"/>
            <color indexed="81"/>
            <rFont val="Tahoma"/>
            <family val="2"/>
          </rPr>
          <t xml:space="preserve">c)   Treibstoffe und Schmiermittel
d)   Reinigungs- und Putzmaterial für Haus und Wäsche einschl. Hausverbrauchsmittel
e)   Gartenpflege einschlich Pflanzen und Sämereien
f)   sonstige weitere allgemeine Betriebskosten
g)   gesundheitliche Betreuung
h)   Fremdreinigung - Haus- und Fensterreinigung durch fremde Betriebe
i)    Fremdwäscherei - Reinigung, Pflege und Instandhaltung der Kleider und Wäsche
      des Hauses sowie der Bewohner 
k)   Steuern - Grundsteuer, Kraftfahrzeugsteuer
l)    Öffentliche Gebühren - z. B. für Abwasser, Straßenreinigung und Müllabfuhr, 
      Schornsteinfegergebühren
m)  betriebsnotwendige Versicherungen
n)   Zinsen für Betriebsmittelkredite
o)   Wartung    </t>
        </r>
      </text>
    </comment>
    <comment ref="B57" authorId="0" shapeId="0" xr:uid="{00000000-0006-0000-0000-000011000000}">
      <text>
        <r>
          <rPr>
            <b/>
            <sz val="8"/>
            <color indexed="81"/>
            <rFont val="Tahoma"/>
            <family val="2"/>
          </rPr>
          <t>a)   Bürobedarf, Drucksachen, Vordrucke, EDV-Kosten
b)   Porti, Kleinfrachten, Postscheck- u. Bankgebühren
c)   Telekommunikation
d)   Tagungen, Gästebetreuung, Repräsentationskosten
e)   Werbeaufwand
f)    Beratungskosten, Prüfungs-, Gerichts- u. Anwaltsgebühren
g)   Fachzeitschriften</t>
        </r>
        <r>
          <rPr>
            <sz val="8"/>
            <color indexed="81"/>
            <rFont val="Tahoma"/>
            <family val="2"/>
          </rPr>
          <t xml:space="preserve">
</t>
        </r>
        <r>
          <rPr>
            <b/>
            <sz val="8"/>
            <color indexed="81"/>
            <rFont val="Tahoma"/>
            <family val="2"/>
          </rPr>
          <t>h)   Verbands- u. Organisationsbeiträge
i)    Sonstige allgemeine Verwaltungskosten
k)   Bezogene Leistungen 
l)    Zentrale Dienstleistungen (innerhalb des Trägers)</t>
        </r>
      </text>
    </comment>
    <comment ref="B59" authorId="0" shapeId="0" xr:uid="{00000000-0006-0000-0000-000012000000}">
      <text>
        <r>
          <rPr>
            <b/>
            <sz val="8"/>
            <color indexed="81"/>
            <rFont val="Tahoma"/>
            <family val="2"/>
          </rPr>
          <t xml:space="preserve">Aufwand für die Betreuung, kulturelle Bedürfnisse
a)   Bücher, Zeitschriften, Tageszeitungen
b)   CDs, Schallplatten, Filme, Video und sonstige Medien
c)   Rundfunk, Fernsehgebühren, GEMA-Gebühren
d)   Aufwendungen für Körperpflege und Friseur
e)   Veranstaltungen für Einrichtungen
f)   Vielseitige Freizeitbetätigungen, Ausflüge etc.
g)   Lernmittel
h)   Kosten für Fahrten mit Jugendlichen zu Ärzten, Gerichten u. a. 
</t>
        </r>
        <r>
          <rPr>
            <sz val="8"/>
            <color indexed="81"/>
            <rFont val="Tahoma"/>
            <family val="2"/>
          </rPr>
          <t xml:space="preserve">
</t>
        </r>
      </text>
    </comment>
    <comment ref="F65" authorId="1" shapeId="0" xr:uid="{00000000-0006-0000-0000-000013000000}">
      <text>
        <r>
          <rPr>
            <sz val="8"/>
            <color indexed="81"/>
            <rFont val="Tahoma"/>
            <family val="2"/>
          </rPr>
          <t xml:space="preserve">Die Berechnung nach Position (13) der Erläuterungen zum Kalkulationsblatt (siehe Anmerkung Zelle F25) ist maßgeblich. Es kann sein, dass es zu Abweichungen kommt bei einer Addition der vorangehenden Werte!
</t>
        </r>
      </text>
    </comment>
    <comment ref="B69" authorId="0" shapeId="0" xr:uid="{00000000-0006-0000-0000-000014000000}">
      <text>
        <r>
          <rPr>
            <b/>
            <sz val="8"/>
            <color indexed="81"/>
            <rFont val="Tahoma"/>
            <family val="2"/>
          </rPr>
          <t>Für die Bewertung der Sachbezüge gilt die Sachbezugs- verordnung in der jeweils gültigen Fassung. 
(ohne Nahrungsmittel für Mitarbeiter)</t>
        </r>
        <r>
          <rPr>
            <sz val="8"/>
            <color indexed="81"/>
            <rFont val="Tahoma"/>
            <family val="2"/>
          </rPr>
          <t xml:space="preserve">
</t>
        </r>
      </text>
    </comment>
    <comment ref="B71" authorId="0" shapeId="0" xr:uid="{00000000-0006-0000-0000-000015000000}">
      <text>
        <r>
          <rPr>
            <b/>
            <sz val="8"/>
            <color indexed="81"/>
            <rFont val="Tahoma"/>
            <family val="2"/>
          </rPr>
          <t>Zu berücksichtigen sind die Einnahmen, z. B. aus Ver-
käufen an Personal, die Einnahmen der Wäscherei für Personalwäsche, die Einnahmen aus privaten Telefon-
gesprächen und dergl. mehr.</t>
        </r>
        <r>
          <rPr>
            <sz val="8"/>
            <color indexed="81"/>
            <rFont val="Tahoma"/>
            <family val="2"/>
          </rPr>
          <t xml:space="preserve">
</t>
        </r>
      </text>
    </comment>
    <comment ref="F79" authorId="1" shapeId="0" xr:uid="{00000000-0006-0000-0000-000016000000}">
      <text>
        <r>
          <rPr>
            <sz val="8"/>
            <color indexed="81"/>
            <rFont val="Tahoma"/>
            <family val="2"/>
          </rPr>
          <t>Die Berechnung nach Position (13) der Erläuterungen zum Kalkulationsblatt (siehe Anmerkung Zelle F25) ist maßgeblich. Es kann sein, dass es zu Abweichungen kommt bei einer Addition der vorangehenden Werte!</t>
        </r>
      </text>
    </comment>
    <comment ref="F81" authorId="1" shapeId="0" xr:uid="{00000000-0006-0000-0000-000017000000}">
      <text>
        <r>
          <rPr>
            <sz val="8"/>
            <color indexed="81"/>
            <rFont val="Tahoma"/>
            <family val="2"/>
          </rPr>
          <t xml:space="preserve">Die Berechnung nach Position (13) der Erläuterungen zum Kalkulationsblatt (siehe Anmerkung Zelle F25) ist maßgeblich. Es kann sein, dass es zu Abweichungen in der Berechnung kommt!
</t>
        </r>
      </text>
    </comment>
    <comment ref="F83" authorId="1" shapeId="0" xr:uid="{00000000-0006-0000-0000-000018000000}">
      <text>
        <r>
          <rPr>
            <sz val="8"/>
            <color indexed="81"/>
            <rFont val="Tahoma"/>
            <family val="2"/>
          </rPr>
          <t xml:space="preserve">Die Berechnung nach Position (13) der Erläuterungen zum Kalkulationsblatt (siehe Anmerkung Zelle F25) ist maßgeblich. Es kann sein, dass es zu Abweichungen in der Berechnung kommt!
</t>
        </r>
      </text>
    </comment>
    <comment ref="B93" authorId="0" shapeId="0" xr:uid="{00000000-0006-0000-0000-000019000000}">
      <text>
        <r>
          <rPr>
            <b/>
            <sz val="8"/>
            <color indexed="81"/>
            <rFont val="Tahoma"/>
            <family val="2"/>
          </rPr>
          <t>1) Nur Kosten,  die der laufenden Instandhaltung des Gebäudes, der Betriebseinrichtungen</t>
        </r>
        <r>
          <rPr>
            <sz val="8"/>
            <color indexed="81"/>
            <rFont val="Tahoma"/>
            <family val="2"/>
          </rPr>
          <t xml:space="preserve">
    </t>
        </r>
        <r>
          <rPr>
            <b/>
            <sz val="8"/>
            <color indexed="81"/>
            <rFont val="Tahoma"/>
            <family val="2"/>
          </rPr>
          <t>einschließlich des Fuhrparks, des Mobiliars und des Gerätes dienen. 
    Den Kalkulationsblättern ist eine Unterteilung beizufügen, aus der im Einzelnen der In-
    standhaltungsaufwand hervorgeht, getrennt nach Gruppen.
    a) Gebäude
    b) Besondere Betriebseinrichtungen
    c) Ausstattung
    Die Kosten für Wartung sind unter der Position (23) Buchstabe o) zu kalkulieren.
2) Instandhaltung/Instandsetzung sind Maßnahmen, die die Leistungsfähigkeit und Be-
    triebsbereitschaft eines Wirtschaftsgutes erhalten oder wiederherstellen. Die Kosten
    für das Ersetzen von Teilen eines Wirtschaftsgutes, die während der gewöhnlichen 
    Nutzungsdauer ersetzt werden, sind Instandhaltung/Instandsetzung auch dann, wenn  
    die Teile durch bessere, dem technischen Fortschritt entsprechende Teile ersetzt werden.
    Im Zweifel sind steuer- und handelsrechtliche Abgrenzungen maßgebend.
3) Nicht zum Instandhaltungsaufwand gehören solche Aufwendungen, die eine Wertver-
    besserung darstellen. 
4) Hausmeisterservice (Fremdleistungen)</t>
        </r>
      </text>
    </comment>
    <comment ref="B97" authorId="0" shapeId="0" xr:uid="{00000000-0006-0000-0000-00001A000000}">
      <text>
        <r>
          <rPr>
            <b/>
            <sz val="8"/>
            <color indexed="81"/>
            <rFont val="Tahoma"/>
            <family val="2"/>
          </rPr>
          <t>Die Höhe der Miete wird im Einzelnen vereinbart, 
entsprechender Gegebenheiten vor Ort. Maklergebühren für vom Einrichtungsträger angemietete Wohnungen.</t>
        </r>
        <r>
          <rPr>
            <sz val="8"/>
            <color indexed="81"/>
            <rFont val="Tahoma"/>
            <family val="2"/>
          </rPr>
          <t xml:space="preserve">
</t>
        </r>
      </text>
    </comment>
    <comment ref="B101" authorId="0" shapeId="0" xr:uid="{00000000-0006-0000-0000-00001B000000}">
      <text>
        <r>
          <rPr>
            <b/>
            <sz val="8"/>
            <color indexed="81"/>
            <rFont val="Tahoma"/>
            <family val="2"/>
          </rPr>
          <t>Die Abschreibungen richten sich nach den handelsrechtlichen Vorschriften. Abweichende Regelungen sind im Einzelfall möglich (entsprechend § 9 Abs. 2 der Rahmenvereinbarung ist dem Kalkulationsblatt ein Anlagenverzeichnis mit Abschreibungsplan beizufügen).</t>
        </r>
        <r>
          <rPr>
            <sz val="8"/>
            <color indexed="81"/>
            <rFont val="Tahoma"/>
            <family val="2"/>
          </rPr>
          <t xml:space="preserve">
</t>
        </r>
      </text>
    </comment>
    <comment ref="B103" authorId="0" shapeId="0" xr:uid="{00000000-0006-0000-0000-00001C000000}">
      <text>
        <r>
          <rPr>
            <b/>
            <sz val="8"/>
            <color indexed="81"/>
            <rFont val="Tahoma"/>
            <family val="2"/>
          </rPr>
          <t xml:space="preserve">Die Abschreibungen richten sich nach den handelsrechtlichen Vorschriften. Ab-weichende Regelungen sind im Einzelfall möglich (entsprechend § 9 Abs. 2 der Rahmenvereinbarung ist dem Kalkulationsblatt ein Anlagenverzeichnis mit Ab-schreibungsplan beizufügen). </t>
        </r>
      </text>
    </comment>
    <comment ref="B105" authorId="0" shapeId="0" xr:uid="{00000000-0006-0000-0000-00001D000000}">
      <text>
        <r>
          <rPr>
            <b/>
            <sz val="8"/>
            <color indexed="81"/>
            <rFont val="Tahoma"/>
            <family val="2"/>
          </rPr>
          <t xml:space="preserve">Ersatzanschaffungen von geringwertigen Wirtschaftsgütern mit Anschaffungskosten bis € 410,00 ohne MwSt. werden im Kalkulationsjahr als Aufwand berücksichtigt.
Die Abschreibung richtet sich nach den handelsrechtlichen Vorschriften. Für Kalkulationen darf eine Obergrenze von € 410,00 pro Platz nicht überschritten werden
</t>
        </r>
      </text>
    </comment>
    <comment ref="F107" authorId="1" shapeId="0" xr:uid="{00000000-0006-0000-0000-00001E000000}">
      <text>
        <r>
          <rPr>
            <sz val="8"/>
            <color indexed="81"/>
            <rFont val="Tahoma"/>
            <family val="2"/>
          </rPr>
          <t xml:space="preserve">Die Berechnung nach Position (13) der Erläuterungen zum Kalkulationsblatt (siehe Anmerkung Zelle F25) ist maßgeblich. Es kann sein, dass es zu Abweichungen kommt bei einer Addition der vorangehenden Werte kommt!
</t>
        </r>
      </text>
    </comment>
    <comment ref="B111" authorId="0" shapeId="0" xr:uid="{00000000-0006-0000-0000-00001F000000}">
      <text>
        <r>
          <rPr>
            <b/>
            <sz val="8"/>
            <color indexed="81"/>
            <rFont val="Tahoma"/>
            <family val="2"/>
          </rPr>
          <t xml:space="preserve">Hier sind nicht nur beispielsweise Einnahmen aus Mieten für an Mitarbeitenede und an Einrichtungsbetreiber überlassene Wohnungen oder Zimmer in eigenen Gebäuden, von Fremden gezahlte Mieten, Garagenmiete, Pacht oder Miete für Kantinenbetriebe zu erfassen. (Für die Bewertung gilt ebenfalls die Sachbezugsverordnung.)
Auch andere entsprechende Einnahmen - beispielsweise aus Vermietung an dritte von Gargagen, Scheunen, Mietflächen oder Einnahmen aus der Gestatung von Aufstellungen von Mobilfunkmasten o.ä. - sind hier zu berücksichtigen. </t>
        </r>
        <r>
          <rPr>
            <sz val="8"/>
            <color indexed="81"/>
            <rFont val="Tahoma"/>
            <family val="2"/>
          </rPr>
          <t xml:space="preserve">
</t>
        </r>
      </text>
    </comment>
    <comment ref="F115" authorId="1" shapeId="0" xr:uid="{00000000-0006-0000-0000-000020000000}">
      <text>
        <r>
          <rPr>
            <sz val="8"/>
            <color indexed="81"/>
            <rFont val="Tahoma"/>
            <family val="2"/>
          </rPr>
          <t xml:space="preserve">Die Berechnung nach Position (13) der Erläuterungen zum Kalkulationsblatt (siehe Anmerkung Zelle F25) ist maßgeblich. Es kann sein, dass es zu Abweichungen kommt bei einer Addition der vorangehenden Werte kommt!
</t>
        </r>
      </text>
    </comment>
    <comment ref="F117" authorId="1" shapeId="0" xr:uid="{00000000-0006-0000-0000-000021000000}">
      <text>
        <r>
          <rPr>
            <sz val="8"/>
            <color indexed="81"/>
            <rFont val="Tahoma"/>
            <family val="2"/>
          </rPr>
          <t xml:space="preserve">Die Berechnung nach Position (13) der Erläuterungen zum Kalkulationsblatt (siehe Anmerkung Zelle F25) ist maßgeblich. Es kann sein, dass es zu Abweichungen in der Berechnung kommt!
</t>
        </r>
      </text>
    </comment>
    <comment ref="F119" authorId="1" shapeId="0" xr:uid="{00000000-0006-0000-0000-000022000000}">
      <text>
        <r>
          <rPr>
            <sz val="8"/>
            <color indexed="81"/>
            <rFont val="Tahoma"/>
            <family val="2"/>
          </rPr>
          <t xml:space="preserve">Die Berechnung nach Position (13) der Erläuterungen zum Kalkulationsblatt (siehe Anmerkung Zelle F25) ist maßgeblich. Es kann sein, dass es zu Abweichungen in der Berechnung kommt!
</t>
        </r>
      </text>
    </comment>
    <comment ref="F122" authorId="1" shapeId="0" xr:uid="{00000000-0006-0000-0000-000023000000}">
      <text>
        <r>
          <rPr>
            <sz val="8"/>
            <color indexed="81"/>
            <rFont val="Tahoma"/>
            <family val="2"/>
          </rPr>
          <t xml:space="preserve">Die Berechnung nach Position (13) der Erläuterungen zum Kalkulationsblatt (siehe Anmerkung Zelle F25) ist maßgeblich. Es kann sein, dass es zu Abweichungen in der Berechnung kommt!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Hißnauer, Stefan (bpa)</author>
    <author>Autor</author>
  </authors>
  <commentList>
    <comment ref="N8" authorId="0" shapeId="0" xr:uid="{F4DD7FDD-C842-45D6-883D-14B896FEA47F}">
      <text>
        <r>
          <rPr>
            <b/>
            <sz val="9"/>
            <color indexed="81"/>
            <rFont val="Segoe UI"/>
            <family val="2"/>
          </rPr>
          <t>Hißnauer, Stefan (bpa):</t>
        </r>
        <r>
          <rPr>
            <sz val="9"/>
            <color indexed="81"/>
            <rFont val="Segoe UI"/>
            <family val="2"/>
          </rPr>
          <t xml:space="preserve">
Die Gefahrenklassen entnehmen Sie dem Veranlagungsbescheid der BGW. Stationär lag dieser 2025 bei 3,96</t>
        </r>
      </text>
    </comment>
    <comment ref="N9" authorId="0" shapeId="0" xr:uid="{63EA1771-CD92-4BD1-A077-12F1F7281B60}">
      <text>
        <r>
          <rPr>
            <b/>
            <sz val="9"/>
            <color indexed="81"/>
            <rFont val="Segoe UI"/>
            <family val="2"/>
          </rPr>
          <t>Hißnauer, Stefan (bpa):</t>
        </r>
        <r>
          <rPr>
            <sz val="9"/>
            <color indexed="81"/>
            <rFont val="Segoe UI"/>
            <family val="2"/>
          </rPr>
          <t xml:space="preserve">
Bei dem Beitragsfuß berücksichtigen Sie bitte, dass für freigemeinnützige und freinichtgemeinnützige Träger unterschiedliche Beträge gelten. So beträgt der Beitragsfuß für das Jahr 2024 für gemeinnützige Betriebe </t>
        </r>
        <r>
          <rPr>
            <b/>
            <sz val="9"/>
            <color indexed="81"/>
            <rFont val="Segoe UI"/>
            <family val="2"/>
          </rPr>
          <t>1,94</t>
        </r>
        <r>
          <rPr>
            <sz val="9"/>
            <color indexed="81"/>
            <rFont val="Segoe UI"/>
            <family val="2"/>
          </rPr>
          <t xml:space="preserve"> und für alle nicht gemeinnützigen Unternehmen </t>
        </r>
        <r>
          <rPr>
            <b/>
            <sz val="9"/>
            <color indexed="81"/>
            <rFont val="Segoe UI"/>
            <family val="2"/>
          </rPr>
          <t>2,07</t>
        </r>
        <r>
          <rPr>
            <sz val="9"/>
            <color indexed="81"/>
            <rFont val="Segoe UI"/>
            <family val="2"/>
          </rPr>
          <t>.</t>
        </r>
      </text>
    </comment>
    <comment ref="N10" authorId="0" shapeId="0" xr:uid="{535040A5-D071-402E-8542-8D1993849BC8}">
      <text>
        <r>
          <rPr>
            <b/>
            <sz val="9"/>
            <color indexed="81"/>
            <rFont val="Segoe UI"/>
            <family val="2"/>
          </rPr>
          <t>Hißnauer, Stefan (bpa):</t>
        </r>
        <r>
          <rPr>
            <sz val="9"/>
            <color indexed="81"/>
            <rFont val="Segoe UI"/>
            <family val="2"/>
          </rPr>
          <t xml:space="preserve">
Die Entschädigungsleistungen der BGW für unentgeltlich beziehungsweise ehrenamtlich in der Wohlfahrtspflege Tätige werden unabhängig vom ansonsten bei der Berufsgenossenschaft geltenden Gefahrtarif auf die Mitgliedsbetriebe im Bereich der Wohlfahrtspflege umgelegt.</t>
        </r>
      </text>
    </comment>
    <comment ref="C28" authorId="1" shapeId="0" xr:uid="{00000000-0006-0000-0100-000001000000}">
      <text>
        <r>
          <rPr>
            <sz val="8"/>
            <color indexed="81"/>
            <rFont val="Tahoma"/>
            <family val="2"/>
          </rPr>
          <t xml:space="preserve">Falls Sie anhand einer prozentualen Pauschale kalkulierten, tragen Sie bitte einen entsprechenden Wert in Zelle D28 ein. Dieser wird für die Berechnung genommen und ggf. erfolgte einträge werden ausgeblendet. Falls Sie anhand konkreter Werte kalkulieren wollen, lassen Sie die Zelle D28 frei!
</t>
        </r>
      </text>
    </comment>
    <comment ref="C33" authorId="1" shapeId="0" xr:uid="{00000000-0006-0000-0100-000002000000}">
      <text>
        <r>
          <rPr>
            <sz val="8"/>
            <color indexed="81"/>
            <rFont val="Tahoma"/>
            <family val="2"/>
          </rPr>
          <t xml:space="preserve">Falls Sie anhand einer prozentualen Pauschale kalkulierten, tragen Sie bitte einen entsprechenden Wert in Zelle D33 ein. Dieser wird für die Berechnung genommen und ggf. erfolgte einträge werden ausgeblendet. Falls Sie anhand konkreter Werte kalkulieren wollen, lassen Sie die Zelle D33 frei!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Stefan Gerland</author>
    <author>Autor</author>
  </authors>
  <commentList>
    <comment ref="D5" authorId="0" shapeId="0" xr:uid="{00000000-0006-0000-0200-000001000000}">
      <text>
        <r>
          <rPr>
            <b/>
            <sz val="8"/>
            <color indexed="81"/>
            <rFont val="Tahoma"/>
            <family val="2"/>
          </rPr>
          <t>Mitarbeiter die nicht nach Tarifvertrag vergütet werden - Bitte AT eintragen</t>
        </r>
        <r>
          <rPr>
            <sz val="8"/>
            <color indexed="81"/>
            <rFont val="Tahoma"/>
            <family val="2"/>
          </rPr>
          <t xml:space="preserve">
</t>
        </r>
      </text>
    </comment>
    <comment ref="K5" authorId="1" shapeId="0" xr:uid="{00000000-0006-0000-0200-000002000000}">
      <text>
        <r>
          <rPr>
            <b/>
            <sz val="8"/>
            <color indexed="81"/>
            <rFont val="Tahoma"/>
            <family val="2"/>
          </rPr>
          <t>Hierzu zählen u. a. SuE-Zulage, tarifliche Kinder- und Familienzulagen, Zulage gemäß § 52 TVöD usw.</t>
        </r>
      </text>
    </comment>
    <comment ref="V5" authorId="1" shapeId="0" xr:uid="{00000000-0006-0000-0200-000003000000}">
      <text>
        <r>
          <rPr>
            <b/>
            <sz val="8"/>
            <color indexed="81"/>
            <rFont val="Tahoma"/>
            <family val="2"/>
          </rPr>
          <t>gilt nur in  den Tarifwerken TvöD-VKA und SuE</t>
        </r>
        <r>
          <rPr>
            <sz val="8"/>
            <color indexed="81"/>
            <rFont val="Tahoma"/>
            <family val="2"/>
          </rPr>
          <t xml:space="preserve">
</t>
        </r>
      </text>
    </comment>
    <comment ref="L6" authorId="1" shapeId="0" xr:uid="{00000000-0006-0000-0200-000004000000}">
      <text>
        <r>
          <rPr>
            <sz val="8"/>
            <color indexed="81"/>
            <rFont val="Tahoma"/>
            <family val="2"/>
          </rPr>
          <t xml:space="preserve">Hängt vom jeweiligen Tarifwerk o.ä. ab. Im TVöD zurzeit beispielsweise 100,- EUR.
</t>
        </r>
      </text>
    </comment>
    <comment ref="P6" authorId="1" shapeId="0" xr:uid="{00000000-0006-0000-0200-000005000000}">
      <text>
        <r>
          <rPr>
            <b/>
            <sz val="8"/>
            <color indexed="81"/>
            <rFont val="Tahoma"/>
            <family val="2"/>
          </rPr>
          <t>Richtwert</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Diakonie</author>
  </authors>
  <commentList>
    <comment ref="C28" authorId="0" shapeId="0" xr:uid="{00000000-0006-0000-0300-000001000000}">
      <text>
        <r>
          <rPr>
            <sz val="9"/>
            <color indexed="81"/>
            <rFont val="Segoe UI"/>
            <family val="2"/>
          </rPr>
          <t xml:space="preserve">Hier ist der maßgebliche Tabellenwert der Entgeltgruppe anzugeben, der zur Bemessung der Zeitzuschläge herangezogen wird. Dieser entspricht i.d.R. der Durchschnitts-"Stufe" einer Entgeltgruppe. Die individuellen tariflichen Regelungen sind zu beachten. (siehe auch Handbuch)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Stefan Gerland</author>
    <author>Hißnauer, Stefan (bpa)</author>
  </authors>
  <commentList>
    <comment ref="G2" authorId="0" shapeId="0" xr:uid="{00000000-0006-0000-0400-000001000000}">
      <text>
        <r>
          <rPr>
            <b/>
            <sz val="8"/>
            <color indexed="81"/>
            <rFont val="Tahoma"/>
            <family val="2"/>
          </rPr>
          <t xml:space="preserve">Beiträge zur Zusatzversorgung sind teilweise steuer- und sozialversicherungspflichtig
Neben dem Beitragssatz (Zelle O6), dem Sanierungsgeld (Zelle O16) ist also hierfür auch ein zusätzlicher prozentualer Anteil zu berechnen. Siehe Berechnung.
</t>
        </r>
        <r>
          <rPr>
            <sz val="8"/>
            <color indexed="81"/>
            <rFont val="Tahoma"/>
            <family val="2"/>
          </rPr>
          <t xml:space="preserve">
</t>
        </r>
      </text>
    </comment>
    <comment ref="I2" authorId="1" shapeId="0" xr:uid="{00000000-0006-0000-0400-000002000000}">
      <text>
        <r>
          <rPr>
            <b/>
            <sz val="10"/>
            <color indexed="81"/>
            <rFont val="Tahoma"/>
            <family val="2"/>
          </rPr>
          <t>Entweder ZVK eintragen oder Sonstige Beiträge zur Altersversorgung 
Beides führt zu einer Fehlermeldung</t>
        </r>
        <r>
          <rPr>
            <sz val="8"/>
            <color indexed="81"/>
            <rFont val="Tahoma"/>
            <family val="2"/>
          </rPr>
          <t xml:space="preserve">
</t>
        </r>
      </text>
    </comment>
    <comment ref="G3" authorId="1" shapeId="0" xr:uid="{00000000-0006-0000-0400-000003000000}">
      <text>
        <r>
          <rPr>
            <b/>
            <sz val="9"/>
            <color indexed="81"/>
            <rFont val="Tahoma"/>
            <family val="2"/>
          </rPr>
          <t>individueller Prozentsatz gemäß exemplarischer Berechnung in den Spalten Q bis T</t>
        </r>
        <r>
          <rPr>
            <sz val="9"/>
            <color indexed="81"/>
            <rFont val="Tahoma"/>
            <family val="2"/>
          </rPr>
          <t xml:space="preserve">
</t>
        </r>
      </text>
    </comment>
    <comment ref="I3" authorId="1" shapeId="0" xr:uid="{00000000-0006-0000-0400-000004000000}">
      <text>
        <r>
          <rPr>
            <b/>
            <sz val="8"/>
            <color indexed="81"/>
            <rFont val="Tahoma"/>
            <family val="2"/>
          </rPr>
          <t xml:space="preserve">Soll hier ein Prozentsatz eingetragen werden, müssen die Angaben zur ZVK in Zelle O6 und O16 gelöscht werden. Ansonsten erfolgt eine Fehlermeldung </t>
        </r>
        <r>
          <rPr>
            <sz val="8"/>
            <color indexed="81"/>
            <rFont val="Tahoma"/>
            <family val="2"/>
          </rPr>
          <t xml:space="preserve">
</t>
        </r>
      </text>
    </comment>
    <comment ref="K3" authorId="1" shapeId="0" xr:uid="{00000000-0006-0000-0400-000005000000}">
      <text>
        <r>
          <rPr>
            <b/>
            <sz val="8"/>
            <color indexed="81"/>
            <rFont val="Tahoma"/>
            <family val="2"/>
          </rPr>
          <t xml:space="preserve">Soll hier ein Jahresbetrag eingetragen werden, müssen die Angaben zur ZVK in Zelle O6 und O16 gelöscht werden. Ansonsten erfolgt eine Fehlermeldung 
</t>
        </r>
      </text>
    </comment>
    <comment ref="N5" authorId="2" shapeId="0" xr:uid="{F800753E-7130-429E-9778-A13436B21823}">
      <text>
        <r>
          <rPr>
            <b/>
            <sz val="9"/>
            <color indexed="81"/>
            <rFont val="Segoe UI"/>
            <family val="2"/>
          </rPr>
          <t>Hißnauer, Stefan (bpa):</t>
        </r>
        <r>
          <rPr>
            <sz val="9"/>
            <color indexed="81"/>
            <rFont val="Segoe UI"/>
            <family val="2"/>
          </rPr>
          <t xml:space="preserve">
Bitte beachten Sie, dass </t>
        </r>
        <r>
          <rPr>
            <b/>
            <sz val="9"/>
            <color indexed="81"/>
            <rFont val="Segoe UI"/>
            <family val="2"/>
          </rPr>
          <t>nur die Arbeitgeberanteile</t>
        </r>
        <r>
          <rPr>
            <sz val="9"/>
            <color indexed="81"/>
            <rFont val="Segoe UI"/>
            <family val="2"/>
          </rPr>
          <t xml:space="preserve"> hier eingetragen werden. Die Arbeitnehmeranteile gehen aus dem Arbeitnehmerbrutto raus und sind daher an dieser Stelle nicht kostenrelevant.
</t>
        </r>
        <r>
          <rPr>
            <b/>
            <sz val="9"/>
            <color indexed="81"/>
            <rFont val="Segoe UI"/>
            <family val="2"/>
          </rPr>
          <t>Bespiel:</t>
        </r>
        <r>
          <rPr>
            <sz val="9"/>
            <color indexed="81"/>
            <rFont val="Segoe UI"/>
            <family val="2"/>
          </rPr>
          <t xml:space="preserve">
Der allgemeine Beitragssatz der Krankenversicherung beträgt (Stand 2025) 14,6 % und wird hälftig von Arbeitgeber:in und Arbeitnehmer:in getragen.
Der hier einzutragene Arbeitgeberanteil beträgt somit </t>
        </r>
        <r>
          <rPr>
            <b/>
            <sz val="9"/>
            <color indexed="81"/>
            <rFont val="Segoe UI"/>
            <family val="2"/>
          </rPr>
          <t>7,3 %</t>
        </r>
        <r>
          <rPr>
            <sz val="9"/>
            <color indexed="81"/>
            <rFont val="Segoe UI"/>
            <family val="2"/>
          </rPr>
          <t>.</t>
        </r>
        <r>
          <rPr>
            <b/>
            <sz val="9"/>
            <color indexed="81"/>
            <rFont val="Segoe UI"/>
            <family val="2"/>
          </rPr>
          <t xml:space="preserve">
</t>
        </r>
        <r>
          <rPr>
            <sz val="9"/>
            <color indexed="81"/>
            <rFont val="Segoe UI"/>
            <family val="2"/>
          </rPr>
          <t xml:space="preserve">Die aktuellen Werte finden Sie unter www.lohn-info.de </t>
        </r>
      </text>
    </comment>
    <comment ref="N11" authorId="2" shapeId="0" xr:uid="{954FE486-05FB-47E2-AD0B-AAF593ABD16E}">
      <text>
        <r>
          <rPr>
            <b/>
            <sz val="9"/>
            <color indexed="81"/>
            <rFont val="Segoe UI"/>
            <family val="2"/>
          </rPr>
          <t>Hißnauer, Stefan (bpa):</t>
        </r>
        <r>
          <rPr>
            <sz val="9"/>
            <color indexed="81"/>
            <rFont val="Segoe UI"/>
            <family val="2"/>
          </rPr>
          <t xml:space="preserve">
Der Umlagensatz ist je in Abhänigkeit von den Erstattungssätzen und Krankenkasse unterschiedlich hoch. Von daher müssen Sie an dieser Stelle einen Durchschnitt bilden.
Die U1 Umlage können nur Arbeitgeber:innen mit bis zu 30 Beschäftigten (Stand 2025) wählen.
Die Umlage U1 tragen die Arbeitgeber:innnen allein.</t>
        </r>
      </text>
    </comment>
    <comment ref="N12" authorId="2" shapeId="0" xr:uid="{42998A07-691E-4795-B8BB-805A18DA40AD}">
      <text>
        <r>
          <rPr>
            <b/>
            <sz val="9"/>
            <color indexed="81"/>
            <rFont val="Segoe UI"/>
            <family val="2"/>
          </rPr>
          <t>Hißnauer, Stefan (bpa):</t>
        </r>
        <r>
          <rPr>
            <sz val="9"/>
            <color indexed="81"/>
            <rFont val="Segoe UI"/>
            <family val="2"/>
          </rPr>
          <t xml:space="preserve">
Der Umlagensatz für die Umlage U2 ist in Abhängigkeit von der Krankenkasse der Beschäftigten unterschiedlich hoch. Hier müssen Sie den Durchschnitt bilden.
Die Umlage U2 tragen die Arbeitgeber:innnen allein.</t>
        </r>
      </text>
    </comment>
    <comment ref="N13" authorId="2" shapeId="0" xr:uid="{2694554A-9C83-4AA9-B3F3-85CEBDF40C68}">
      <text>
        <r>
          <rPr>
            <b/>
            <sz val="9"/>
            <color indexed="81"/>
            <rFont val="Segoe UI"/>
            <family val="2"/>
          </rPr>
          <t>Hißnauer, Stefan (bpa):</t>
        </r>
        <r>
          <rPr>
            <sz val="9"/>
            <color indexed="81"/>
            <rFont val="Segoe UI"/>
            <family val="2"/>
          </rPr>
          <t xml:space="preserve">
Die Insolvenzumlage tragen die Arbeitgeber:innen allein.</t>
        </r>
      </text>
    </comment>
    <comment ref="R17" authorId="1" shapeId="0" xr:uid="{00000000-0006-0000-0400-000006000000}">
      <text>
        <r>
          <rPr>
            <b/>
            <sz val="9"/>
            <color indexed="81"/>
            <rFont val="Tahoma"/>
            <family val="2"/>
          </rPr>
          <t xml:space="preserve">Zur Überprüfung kann gern das monatliche Bruttoentgelt des AN aus dem Tabellenblatt "PK AN-Brutto" Spalte "Y" eingetragen werden.
</t>
        </r>
        <r>
          <rPr>
            <sz val="9"/>
            <color indexed="81"/>
            <rFont val="Tahoma"/>
            <family val="2"/>
          </rPr>
          <t xml:space="preserve">
</t>
        </r>
      </text>
    </comment>
    <comment ref="N18" authorId="1" shapeId="0" xr:uid="{00000000-0006-0000-0400-000007000000}">
      <text>
        <r>
          <rPr>
            <b/>
            <sz val="9"/>
            <color indexed="81"/>
            <rFont val="Tahoma"/>
            <family val="2"/>
          </rPr>
          <t>Umlagesatz der Zusatzversorgungs-kasse eintragen</t>
        </r>
        <r>
          <rPr>
            <sz val="9"/>
            <color indexed="81"/>
            <rFont val="Tahoma"/>
            <family val="2"/>
          </rPr>
          <t xml:space="preserve">
</t>
        </r>
      </text>
    </comment>
    <comment ref="N28" authorId="1" shapeId="0" xr:uid="{00000000-0006-0000-0400-000008000000}">
      <text>
        <r>
          <rPr>
            <b/>
            <sz val="9"/>
            <color indexed="81"/>
            <rFont val="Tahoma"/>
            <family val="2"/>
          </rPr>
          <t>Umlagesatz für das Sanierungsgeld der Zusatzversorgungs-kasse eintragen.</t>
        </r>
        <r>
          <rPr>
            <sz val="9"/>
            <color indexed="81"/>
            <rFont val="Tahoma"/>
            <family val="2"/>
          </rPr>
          <t xml:space="preserve">
</t>
        </r>
      </text>
    </comment>
  </commentList>
</comments>
</file>

<file path=xl/sharedStrings.xml><?xml version="1.0" encoding="utf-8"?>
<sst xmlns="http://schemas.openxmlformats.org/spreadsheetml/2006/main" count="348" uniqueCount="272">
  <si>
    <t>päd. Betreuung</t>
  </si>
  <si>
    <t>Hauswirtschaft</t>
  </si>
  <si>
    <t>Leitung</t>
  </si>
  <si>
    <t>Verwaltung</t>
  </si>
  <si>
    <t>Technische Dienste</t>
  </si>
  <si>
    <t>Sonstige Dienste</t>
  </si>
  <si>
    <t>Personalnebenkosten</t>
  </si>
  <si>
    <t>Praktikanten</t>
  </si>
  <si>
    <t>Entgelt-gruppe</t>
  </si>
  <si>
    <t>Summe</t>
  </si>
  <si>
    <t>Summe  Personal-gruppen</t>
  </si>
  <si>
    <t>Tagessatz oder Budget</t>
  </si>
  <si>
    <t>Kalkulationszeitraum</t>
  </si>
  <si>
    <t>Kostenarten</t>
  </si>
  <si>
    <t>Personalaufwand</t>
  </si>
  <si>
    <t>pädagogische Betreuung</t>
  </si>
  <si>
    <t>Sachaufwand Betreuung</t>
  </si>
  <si>
    <t>Nahrungsmittel</t>
  </si>
  <si>
    <t>Verwaltungsaufwand</t>
  </si>
  <si>
    <t>Betreuungsaufwand</t>
  </si>
  <si>
    <t>Sonstiger Aufwand</t>
  </si>
  <si>
    <t>Erlösabzüge Betreuung</t>
  </si>
  <si>
    <t>Sachbezüge für Personal</t>
  </si>
  <si>
    <t>Betriebskostenzuschüsse</t>
  </si>
  <si>
    <t>Leasing</t>
  </si>
  <si>
    <t>Erlösabzüge Gebäude und Inventar</t>
  </si>
  <si>
    <t>Mieten und Pachten</t>
  </si>
  <si>
    <t>Auflösung von Investitionszuschüssen</t>
  </si>
  <si>
    <t>Trägergruppe:</t>
  </si>
  <si>
    <t>Basistage je Platz und Jahr</t>
  </si>
  <si>
    <t>Rechtsform:</t>
  </si>
  <si>
    <t>Vermögens-wirksame Leistungen</t>
  </si>
  <si>
    <t>(1)</t>
  </si>
  <si>
    <t>Name und Anschrift</t>
  </si>
  <si>
    <t>(2)</t>
  </si>
  <si>
    <t>Träger der Einrich-</t>
  </si>
  <si>
    <t>(3)</t>
  </si>
  <si>
    <t>(4)</t>
  </si>
  <si>
    <t>(5)</t>
  </si>
  <si>
    <t>(6)</t>
  </si>
  <si>
    <t>(7)</t>
  </si>
  <si>
    <t>(8)</t>
  </si>
  <si>
    <t>Platzzahl:</t>
  </si>
  <si>
    <t>(9)</t>
  </si>
  <si>
    <t>(10)</t>
  </si>
  <si>
    <t>(11)</t>
  </si>
  <si>
    <t>Berechnungstage:</t>
  </si>
  <si>
    <t>(12)</t>
  </si>
  <si>
    <t>(13)</t>
  </si>
  <si>
    <t>kalkulatorischer</t>
  </si>
  <si>
    <t>je Berechnungs-</t>
  </si>
  <si>
    <t>Aufwand  in €</t>
  </si>
  <si>
    <t>tag in €</t>
  </si>
  <si>
    <t>(14)</t>
  </si>
  <si>
    <t>(15)</t>
  </si>
  <si>
    <t>(16)</t>
  </si>
  <si>
    <t>(17)</t>
  </si>
  <si>
    <t>(18)</t>
  </si>
  <si>
    <t>(19)</t>
  </si>
  <si>
    <t>(20)</t>
  </si>
  <si>
    <t>(21)</t>
  </si>
  <si>
    <t>(14) bis (20)</t>
  </si>
  <si>
    <t>Kalkulatorischer</t>
  </si>
  <si>
    <t>Aufwand in €</t>
  </si>
  <si>
    <t>(22)</t>
  </si>
  <si>
    <t>(23)</t>
  </si>
  <si>
    <t>(24)</t>
  </si>
  <si>
    <t>(25)</t>
  </si>
  <si>
    <t>(26)</t>
  </si>
  <si>
    <t>Hilfsbetriebe</t>
  </si>
  <si>
    <t>(27)</t>
  </si>
  <si>
    <t>(28)</t>
  </si>
  <si>
    <t>(22) bis (27)</t>
  </si>
  <si>
    <t>(29)</t>
  </si>
  <si>
    <t>(30)</t>
  </si>
  <si>
    <t>Rückvergütung/Erstattung</t>
  </si>
  <si>
    <t>(31)</t>
  </si>
  <si>
    <t>Erlöse Hilfsbetriebe</t>
  </si>
  <si>
    <t>(32)</t>
  </si>
  <si>
    <t>(33)</t>
  </si>
  <si>
    <t>sonstige Erlösabzüge</t>
  </si>
  <si>
    <t>(34)</t>
  </si>
  <si>
    <t>(29) bis (33)</t>
  </si>
  <si>
    <t>(35)</t>
  </si>
  <si>
    <t>(28) abzüglich (34)</t>
  </si>
  <si>
    <t>(36)</t>
  </si>
  <si>
    <t>(35) zuzüglich (21)</t>
  </si>
  <si>
    <t>Gebäude und Inventar</t>
  </si>
  <si>
    <t>(37)</t>
  </si>
  <si>
    <t>und Außenanlagen (ohne Wartung)</t>
  </si>
  <si>
    <t>(38)</t>
  </si>
  <si>
    <t>(39)</t>
  </si>
  <si>
    <t>Mieten/Pachten incl. Maklergebühren</t>
  </si>
  <si>
    <t>(40)</t>
  </si>
  <si>
    <t>(41)</t>
  </si>
  <si>
    <t>(42)</t>
  </si>
  <si>
    <t>Abschreibungen bewegliche Anlagegüter</t>
  </si>
  <si>
    <t>(43)</t>
  </si>
  <si>
    <t>zuzüglich MwSt.</t>
  </si>
  <si>
    <t>(44)</t>
  </si>
  <si>
    <t>(37) bis (43)</t>
  </si>
  <si>
    <t>(45)</t>
  </si>
  <si>
    <t>(46)</t>
  </si>
  <si>
    <t>(47)</t>
  </si>
  <si>
    <t>Inventar (45) bis (46)</t>
  </si>
  <si>
    <t>(48)</t>
  </si>
  <si>
    <t>und Inventar (44) abzüglich (47)</t>
  </si>
  <si>
    <t>(49)</t>
  </si>
  <si>
    <t>(35) zuzüglich (48)</t>
  </si>
  <si>
    <t>(50)</t>
  </si>
  <si>
    <t>(21) zuzüglich (49)</t>
  </si>
  <si>
    <t>Ort/Datum</t>
  </si>
  <si>
    <t>Unterschrift</t>
  </si>
  <si>
    <t>tung / des Dienstes:</t>
  </si>
  <si>
    <t xml:space="preserve">der Einrichtung / </t>
  </si>
  <si>
    <t>des Dienstes:</t>
  </si>
  <si>
    <t>Leistungsart:</t>
  </si>
  <si>
    <t>Betreuungsform:</t>
  </si>
  <si>
    <t>Auslastung:</t>
  </si>
  <si>
    <t>Summe Sachaufwand Betreuung                         (22) bis (27)</t>
  </si>
  <si>
    <t>Bereinigter Sachaufwand Betreuung       Betreuung (28) abzüglich (34)</t>
  </si>
  <si>
    <t>Summe Erlösabzüge Gebäude und Inventar (45) und (46)</t>
  </si>
  <si>
    <t>Bereinigter Sachaufwand Gebäude und Inventar (44) abzüglich (47)</t>
  </si>
  <si>
    <t>Bereinigter Sachaufwand                                               (35) zuzüglich (48)</t>
  </si>
  <si>
    <t>FSJ / BFD</t>
  </si>
  <si>
    <r>
      <t>Zeitzu-schläge</t>
    </r>
    <r>
      <rPr>
        <i/>
        <sz val="8"/>
        <color theme="1"/>
        <rFont val="Arial"/>
        <family val="2"/>
      </rPr>
      <t xml:space="preserve"> (siehe extra Tabellen-blatt)</t>
    </r>
  </si>
  <si>
    <t>persönliche Zulagen</t>
  </si>
  <si>
    <t>Betrag</t>
  </si>
  <si>
    <t>Prozent-wert</t>
  </si>
  <si>
    <t>In dieser Tabelle sind grundsätzlich die Werte für eine 100 % - Stelle bzw. eine Vollzeitstelle (VZK) einzugeben</t>
  </si>
  <si>
    <t>Leistungsentgelt</t>
  </si>
  <si>
    <t>Honorare</t>
  </si>
  <si>
    <t>Ausbildungsqualifikation/ Funktionsgruppe</t>
  </si>
  <si>
    <t>Anzahl MA</t>
  </si>
  <si>
    <t>Tabellen-werte</t>
  </si>
  <si>
    <t>Wochenarbeitsstunden:</t>
  </si>
  <si>
    <t>Wochen-äquivalent gemäß Tarif-vertrag</t>
  </si>
  <si>
    <t>Gewichtung Zahl der Mitarbeiter</t>
  </si>
  <si>
    <t>Wochen-arbeits-stunden</t>
  </si>
  <si>
    <t>gewichteter Durchschnitt:</t>
  </si>
  <si>
    <t>Inanspruchnahme</t>
  </si>
  <si>
    <t>Stunden</t>
  </si>
  <si>
    <t>Stundenlohnzuschläge:</t>
  </si>
  <si>
    <t>in Euro</t>
  </si>
  <si>
    <t>pro Stunde</t>
  </si>
  <si>
    <t>in Prozent</t>
  </si>
  <si>
    <t>von</t>
  </si>
  <si>
    <t>bis</t>
  </si>
  <si>
    <t>Tage im Jahr</t>
  </si>
  <si>
    <t>Mitarbeiter Vollzeitkräfte</t>
  </si>
  <si>
    <t>Summe Zuschläge:</t>
  </si>
  <si>
    <t>dividiert VZK</t>
  </si>
  <si>
    <t>dividiert Monate</t>
  </si>
  <si>
    <t>Durchschn. Zuschlag</t>
  </si>
  <si>
    <t>tariflich</t>
  </si>
  <si>
    <t>MiniJob Pauschale</t>
  </si>
  <si>
    <t>Zulagen gemäß Tarifvertrag</t>
  </si>
  <si>
    <t>Rentenversicherung</t>
  </si>
  <si>
    <t>Pflegeversicherung</t>
  </si>
  <si>
    <t>U1 Umlage</t>
  </si>
  <si>
    <t>U2 Umlage</t>
  </si>
  <si>
    <t>Summe Personalaufwand                                          (14) bis (20)</t>
  </si>
  <si>
    <t>Aufwand für Ausbildungs- und Produktionsbetriebe</t>
  </si>
  <si>
    <t>Erträge aus Arbeitsleistung für Dritte und Erlöse aus dem Verkauf von Produkten</t>
  </si>
  <si>
    <t>Summe Erlösabzüge Betreuung                             (29) bis (33)</t>
  </si>
  <si>
    <t>Bereinigter Aufwand Betreuung                                   (35) zuzüglich (21)</t>
  </si>
  <si>
    <t>Zinsen für Investitionsdarlehen und Erbbauzinsen</t>
  </si>
  <si>
    <t>Abschreibungen (AfA) Gebäude</t>
  </si>
  <si>
    <t>Kalkulatorischer Aufwand                                    (21) Zuzüglich (49)</t>
  </si>
  <si>
    <t>Einrichtung:</t>
  </si>
  <si>
    <t>Bezeichnung</t>
  </si>
  <si>
    <t>Anzahl</t>
  </si>
  <si>
    <t>Anschaffungskosten</t>
  </si>
  <si>
    <t>Abschrei-bungs-zeitraum</t>
  </si>
  <si>
    <t>Zugang</t>
  </si>
  <si>
    <t>Bestand</t>
  </si>
  <si>
    <t>Stellenschlüssel</t>
  </si>
  <si>
    <t>Schlüssel</t>
  </si>
  <si>
    <t>1 :</t>
  </si>
  <si>
    <t>keine Berücksichtigung</t>
  </si>
  <si>
    <t>Anrechnung</t>
  </si>
  <si>
    <t>Abschreibungswert pro Jahr</t>
  </si>
  <si>
    <r>
      <t xml:space="preserve">davon Berufsgenossenschafts-beiträge (BGW) - </t>
    </r>
    <r>
      <rPr>
        <i/>
        <sz val="10"/>
        <rFont val="Arial"/>
        <family val="2"/>
      </rPr>
      <t>nachrichtlich</t>
    </r>
  </si>
  <si>
    <t>Anlagenverzeichnis für bewegliche Anlagegüter gemäß Position 42 des Kalkulationsblattes</t>
  </si>
  <si>
    <t>Eckdaten Zusatzversorgung</t>
  </si>
  <si>
    <t>Zusatzversorgung inkl. Sanierungsgeld und Sozialversicherung und Pauschalsteuer</t>
  </si>
  <si>
    <t>Umlage ZVK Arbeitgeber</t>
  </si>
  <si>
    <t>davon steuerfrei (§3 Nr.56 EStG)</t>
  </si>
  <si>
    <t>davon sozialversicherungsfrei</t>
  </si>
  <si>
    <t>davon pauschal zu versteuern bis zu</t>
  </si>
  <si>
    <t>abzüglich Freibetrag</t>
  </si>
  <si>
    <t>Pauschalsteuer</t>
  </si>
  <si>
    <t>Solidaritätszuschlag</t>
  </si>
  <si>
    <t>Kirchensteuer</t>
  </si>
  <si>
    <t>Exemplarische Berechnung für die Daten Spalte G</t>
  </si>
  <si>
    <t>abzüglich steuerfrei =</t>
  </si>
  <si>
    <t>pauschal zu versteuern =</t>
  </si>
  <si>
    <t>abzüglich soz.frei =</t>
  </si>
  <si>
    <t>auf 100€ ZV-AG entfallen =</t>
  </si>
  <si>
    <t>abzüglich Freibetrag =</t>
  </si>
  <si>
    <t>sozialvers.pflichtig AG</t>
  </si>
  <si>
    <t xml:space="preserve">Sanierungsgeld </t>
  </si>
  <si>
    <t>soz.frei dividiert Umlage mal Prozent</t>
  </si>
  <si>
    <t xml:space="preserve">Prozent </t>
  </si>
  <si>
    <t>Sanierungsgeld SV und Steuerfrei</t>
  </si>
  <si>
    <t>Arbeitslosenversicherung</t>
  </si>
  <si>
    <t>Träger:</t>
  </si>
  <si>
    <t>Vollzeit-kräfte / Multi-plikator</t>
  </si>
  <si>
    <t>MiniJob</t>
  </si>
  <si>
    <t>Stunden-werte</t>
  </si>
  <si>
    <t>Tarif für den Verein-barungs-zeitraum</t>
  </si>
  <si>
    <t>Prozent</t>
  </si>
  <si>
    <t>Sozial-versicherungs-beiträge und Umlagen</t>
  </si>
  <si>
    <t>Tage</t>
  </si>
  <si>
    <t>Zulage</t>
  </si>
  <si>
    <t>Tageswert</t>
  </si>
  <si>
    <t>nach dem "Lohnausfallprinzip". Der Arbeitnehmer ist so zu vergüten, als hätte er gearbeitet. Damit besteht</t>
  </si>
  <si>
    <t>auch ein Rechtsanspruch auf die Sonntags-, Feiertags- und Nachtzuschläge (SFN-Zuschläge), wenn in der</t>
  </si>
  <si>
    <t>Die Höhe der Entgeltfortzahlung im Krankheitsfall und bei Beurlaubung bestimmen sich</t>
  </si>
  <si>
    <t>Vergangenheit solche Arbeit geleistet wurde.</t>
  </si>
  <si>
    <t>Tage pro Monat</t>
  </si>
  <si>
    <t>zuzüglich aufschlags-</t>
  </si>
  <si>
    <t>Monatswert je Mitarbeiter</t>
  </si>
  <si>
    <t>Berechnung:</t>
  </si>
  <si>
    <t>Monatswert pro Mitarbeiter</t>
  </si>
  <si>
    <r>
      <rPr>
        <b/>
        <sz val="14"/>
        <color theme="1"/>
        <rFont val="Arial"/>
        <family val="2"/>
      </rPr>
      <t xml:space="preserve">oder  </t>
    </r>
    <r>
      <rPr>
        <sz val="9"/>
        <color theme="1"/>
        <rFont val="Arial"/>
        <family val="2"/>
      </rPr>
      <t xml:space="preserve">                                                             Sonstige Beiträge zur zusätzlichen Altersversorgung</t>
    </r>
  </si>
  <si>
    <t>individueller Jahresbetrag</t>
  </si>
  <si>
    <t>Instandhaltung Gebäude, Einrichtungen und Außenanlagen</t>
  </si>
  <si>
    <t>Stunden im Jahr</t>
  </si>
  <si>
    <t>AG Bruttoentgelt je Vollzeitkraft pro Jahr</t>
  </si>
  <si>
    <t>AG Bruttoentgelt multipliziert mit VZK</t>
  </si>
  <si>
    <t>Arbeitnehmer-bruttoentgelt pro Jahr</t>
  </si>
  <si>
    <t>nachrichtlich Arbeitnehmer-bruttoentgelt pro Monat</t>
  </si>
  <si>
    <t>Arbeitgeber Bruttoentgelt pro Jahr</t>
  </si>
  <si>
    <t>monatliches AN Bruttoentgelt</t>
  </si>
  <si>
    <t>Entgelt-stufe</t>
  </si>
  <si>
    <r>
      <t xml:space="preserve">Jahresentgelt </t>
    </r>
    <r>
      <rPr>
        <i/>
        <sz val="9"/>
        <color theme="1"/>
        <rFont val="Arial"/>
        <family val="2"/>
      </rPr>
      <t>(Monatsentgelt multipliziert mit 12)</t>
    </r>
  </si>
  <si>
    <r>
      <t xml:space="preserve">Tarifvertrag </t>
    </r>
    <r>
      <rPr>
        <i/>
        <sz val="9"/>
        <color theme="1"/>
        <rFont val="Arial"/>
        <family val="2"/>
      </rPr>
      <t>entspr. Abkürzung verwenden</t>
    </r>
  </si>
  <si>
    <t>Prospektive Personalkostenkalkulation</t>
  </si>
  <si>
    <t>Berufsgenossenschaftsbeitrag</t>
  </si>
  <si>
    <t>die Gewichtung erfolgt im Tabellenblatt PK Zusammenfassung</t>
  </si>
  <si>
    <t>berechtigte Tage</t>
  </si>
  <si>
    <t>tarifliche Einmalzahlungen            (13. Gehalt) / Leistungsprämien</t>
  </si>
  <si>
    <r>
      <rPr>
        <b/>
        <sz val="9"/>
        <color theme="1"/>
        <rFont val="Arial"/>
        <family val="2"/>
      </rPr>
      <t>alternativ</t>
    </r>
    <r>
      <rPr>
        <sz val="9"/>
        <color theme="1"/>
        <rFont val="Arial"/>
        <family val="2"/>
      </rPr>
      <t xml:space="preserve">               AG Bruttoentgelt je Vollzeitkraft pro Jahr - pauschal</t>
    </r>
  </si>
  <si>
    <t>Abschreibungen für geringwertige Wirtschaftsgüter (GWG) bis € 410,00</t>
  </si>
  <si>
    <t>Summe Gebäude und Inventar                               (37) bis (43)</t>
  </si>
  <si>
    <t>Summe Anlagegut</t>
  </si>
  <si>
    <t>Aufschlagsberechtigte Tage durch</t>
  </si>
  <si>
    <t>die Jugendhilfekommission festge-</t>
  </si>
  <si>
    <t>legt</t>
  </si>
  <si>
    <t>Heim-/ Wohnzulage</t>
  </si>
  <si>
    <t>Sozialversicherung und Umlagen (nur Arbeitgeberanteil)</t>
  </si>
  <si>
    <t>Zusatzbeitrag Krankenversicherung</t>
  </si>
  <si>
    <t>allg. Beitragssatz Krankenversicherung</t>
  </si>
  <si>
    <t>Monatsent-gelt nach aktueller Tabelle bzw. Vereinbarung</t>
  </si>
  <si>
    <t>Pauschale</t>
  </si>
  <si>
    <t>Status</t>
  </si>
  <si>
    <t>freigemeinnützig</t>
  </si>
  <si>
    <t>freinichtgemeinnützig</t>
  </si>
  <si>
    <t>Gefahrenklasse</t>
  </si>
  <si>
    <t>Beitragsfuß</t>
  </si>
  <si>
    <t>Ausgleichsumlage</t>
  </si>
  <si>
    <t>Beitrag (nachrichtlich)</t>
  </si>
  <si>
    <t>Kalkulationsblatt gem. Hessische Rahmenvereinbarung SGB VIII</t>
  </si>
  <si>
    <t>Betriebsaufwendungen (incl. Wartung)</t>
  </si>
  <si>
    <t>Jegliche Änderung der Datei und die Umgehung des Blattschutzes ist untersagt, da hierdurch unbeabsichtigt und unbemerkt Formelbezüge oder Berechnungsfolgen verändert werden können und somit die Richtigkeit der Kalkulation nicht mehr gewährleistet ist.</t>
  </si>
  <si>
    <t>Name:</t>
  </si>
  <si>
    <t>Insolvenzgeldumlage</t>
  </si>
  <si>
    <t>Schichtzulage gemäß Tarifvertrag</t>
  </si>
  <si>
    <t>Stand der Datei: 20. März 2026</t>
  </si>
  <si>
    <t>Monatsentgelt</t>
  </si>
  <si>
    <t>Monatsentgelt nach Fort-schreibung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</si>
</sst>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4" formatCode="_-* #,##0.00\ &quot;€&quot;_-;\-* #,##0.00\ &quot;€&quot;_-;_-* &quot;-&quot;??\ &quot;€&quot;_-;_-@_-"/>
    <numFmt numFmtId="164" formatCode="_-* #,##0.00\ _€_-;\-* #,##0.00\ _€_-;_-* &quot;-&quot;??\ _€_-;_-@_-"/>
    <numFmt numFmtId="165" formatCode="#,##0.00\ &quot;€&quot;"/>
    <numFmt numFmtId="166" formatCode="#,##0_ ;[Red]\-#,##0\ "/>
    <numFmt numFmtId="167" formatCode="0.0%"/>
    <numFmt numFmtId="168" formatCode="0.000"/>
    <numFmt numFmtId="169" formatCode="0.000%"/>
    <numFmt numFmtId="170" formatCode="#,##0.00\ &quot;DM&quot;;[Red]\-#,##0.00\ &quot;DM&quot;"/>
    <numFmt numFmtId="171" formatCode="_-* #,##0.00\ &quot;€&quot;_-;\-* #,##0.00\ &quot;€&quot;_-;_-* &quot;-&quot;???\ &quot;€&quot;_-;_-@_-"/>
    <numFmt numFmtId="172" formatCode="#,##0.000\ &quot;€&quot;"/>
    <numFmt numFmtId="173" formatCode="#,##0.00\ _€"/>
  </numFmts>
  <fonts count="45">
    <font>
      <sz val="11"/>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9"/>
      <color theme="1"/>
      <name val="Arial"/>
      <family val="2"/>
    </font>
    <font>
      <b/>
      <sz val="14"/>
      <color theme="1"/>
      <name val="Arial"/>
      <family val="2"/>
    </font>
    <font>
      <sz val="11"/>
      <name val="AWO Fago Office"/>
    </font>
    <font>
      <sz val="10"/>
      <name val="Arial"/>
      <family val="2"/>
    </font>
    <font>
      <sz val="11"/>
      <name val="Arial"/>
      <family val="2"/>
    </font>
    <font>
      <b/>
      <sz val="14"/>
      <name val="Arial"/>
      <family val="2"/>
    </font>
    <font>
      <b/>
      <sz val="10"/>
      <name val="Arial"/>
      <family val="2"/>
    </font>
    <font>
      <sz val="8"/>
      <color theme="1"/>
      <name val="Arial"/>
      <family val="2"/>
    </font>
    <font>
      <b/>
      <sz val="12"/>
      <name val="Arial"/>
      <family val="2"/>
    </font>
    <font>
      <b/>
      <sz val="11"/>
      <color indexed="8"/>
      <name val="Arial"/>
      <family val="2"/>
    </font>
    <font>
      <b/>
      <sz val="11"/>
      <color rgb="FFFF0000"/>
      <name val="Arial"/>
      <family val="2"/>
    </font>
    <font>
      <sz val="11"/>
      <color indexed="8"/>
      <name val="Arial"/>
      <family val="2"/>
    </font>
    <font>
      <i/>
      <sz val="8"/>
      <color theme="1"/>
      <name val="Arial"/>
      <family val="2"/>
    </font>
    <font>
      <sz val="8"/>
      <color indexed="81"/>
      <name val="Tahoma"/>
      <family val="2"/>
    </font>
    <font>
      <b/>
      <sz val="8"/>
      <color indexed="81"/>
      <name val="Tahoma"/>
      <family val="2"/>
    </font>
    <font>
      <sz val="14"/>
      <color theme="1"/>
      <name val="Arial"/>
      <family val="2"/>
    </font>
    <font>
      <b/>
      <u/>
      <sz val="11"/>
      <color theme="1"/>
      <name val="Arial"/>
      <family val="2"/>
    </font>
    <font>
      <sz val="10"/>
      <name val="MS Sans Serif"/>
      <family val="2"/>
    </font>
    <font>
      <b/>
      <sz val="11"/>
      <name val="Arial"/>
      <family val="2"/>
    </font>
    <font>
      <sz val="10"/>
      <color theme="1"/>
      <name val="Arial"/>
      <family val="2"/>
    </font>
    <font>
      <i/>
      <sz val="10"/>
      <name val="Arial"/>
      <family val="2"/>
    </font>
    <font>
      <i/>
      <sz val="11"/>
      <color theme="1"/>
      <name val="Arial"/>
      <family val="2"/>
    </font>
    <font>
      <b/>
      <sz val="9"/>
      <color theme="1"/>
      <name val="Arial"/>
      <family val="2"/>
    </font>
    <font>
      <b/>
      <i/>
      <sz val="8"/>
      <color theme="3" tint="0.39997558519241921"/>
      <name val="Arial"/>
      <family val="2"/>
    </font>
    <font>
      <sz val="9"/>
      <color indexed="81"/>
      <name val="Tahoma"/>
      <family val="2"/>
    </font>
    <font>
      <b/>
      <sz val="9"/>
      <color indexed="81"/>
      <name val="Tahoma"/>
      <family val="2"/>
    </font>
    <font>
      <sz val="10"/>
      <name val="AWO Fago Office"/>
    </font>
    <font>
      <sz val="10"/>
      <color rgb="FFFF0000"/>
      <name val="AWO Fago Office"/>
    </font>
    <font>
      <sz val="11"/>
      <color rgb="FFFF0000"/>
      <name val="Arial"/>
      <family val="2"/>
    </font>
    <font>
      <b/>
      <sz val="10"/>
      <color indexed="81"/>
      <name val="Tahoma"/>
      <family val="2"/>
    </font>
    <font>
      <i/>
      <sz val="9"/>
      <color theme="1"/>
      <name val="Arial"/>
      <family val="2"/>
    </font>
    <font>
      <b/>
      <i/>
      <sz val="11"/>
      <color indexed="8"/>
      <name val="Arial"/>
      <family val="2"/>
    </font>
    <font>
      <b/>
      <sz val="9"/>
      <color rgb="FFFF0000"/>
      <name val="Arial"/>
      <family val="2"/>
    </font>
    <font>
      <b/>
      <sz val="10"/>
      <color rgb="FFFF0000"/>
      <name val="Arial"/>
      <family val="2"/>
    </font>
    <font>
      <b/>
      <sz val="11"/>
      <color theme="0"/>
      <name val="Arial"/>
      <family val="2"/>
    </font>
    <font>
      <sz val="9"/>
      <color indexed="81"/>
      <name val="Segoe UI"/>
      <family val="2"/>
    </font>
    <font>
      <sz val="8"/>
      <name val="Arial"/>
      <family val="2"/>
    </font>
    <font>
      <b/>
      <sz val="11"/>
      <color rgb="FFEE0000"/>
      <name val="Arial"/>
      <family val="2"/>
    </font>
    <font>
      <b/>
      <sz val="9"/>
      <color indexed="81"/>
      <name val="Segoe UI"/>
      <family val="2"/>
    </font>
    <font>
      <sz val="11"/>
      <color theme="0"/>
      <name val="AWO Fago Office"/>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2" fillId="0" borderId="0"/>
    <xf numFmtId="0" fontId="22" fillId="0" borderId="0"/>
  </cellStyleXfs>
  <cellXfs count="433">
    <xf numFmtId="0" fontId="0" fillId="0" borderId="0" xfId="0"/>
    <xf numFmtId="0" fontId="4" fillId="0" borderId="0" xfId="0" applyFont="1"/>
    <xf numFmtId="49" fontId="3" fillId="0" borderId="0" xfId="0" applyNumberFormat="1" applyFont="1"/>
    <xf numFmtId="49" fontId="4" fillId="0" borderId="0" xfId="0" applyNumberFormat="1" applyFont="1"/>
    <xf numFmtId="0" fontId="5" fillId="0" borderId="0" xfId="0" applyFont="1" applyAlignment="1">
      <alignment horizontal="center" vertical="center" wrapText="1"/>
    </xf>
    <xf numFmtId="0" fontId="7" fillId="0" borderId="0" xfId="0" applyFont="1"/>
    <xf numFmtId="49" fontId="7" fillId="0" borderId="0" xfId="0" applyNumberFormat="1" applyFont="1"/>
    <xf numFmtId="4" fontId="7" fillId="0" borderId="0" xfId="0" applyNumberFormat="1" applyFont="1"/>
    <xf numFmtId="0" fontId="9" fillId="0" borderId="15" xfId="0" applyFont="1" applyBorder="1"/>
    <xf numFmtId="49" fontId="8" fillId="0" borderId="14" xfId="0" quotePrefix="1" applyNumberFormat="1" applyFont="1" applyBorder="1"/>
    <xf numFmtId="0" fontId="8" fillId="0" borderId="16" xfId="0" quotePrefix="1" applyFont="1" applyBorder="1" applyAlignment="1">
      <alignment horizontal="left"/>
    </xf>
    <xf numFmtId="49" fontId="8" fillId="0" borderId="10" xfId="0" applyNumberFormat="1" applyFont="1" applyBorder="1"/>
    <xf numFmtId="0" fontId="8" fillId="0" borderId="9" xfId="0" quotePrefix="1" applyFont="1" applyBorder="1" applyAlignment="1">
      <alignment horizontal="left"/>
    </xf>
    <xf numFmtId="0" fontId="8" fillId="0" borderId="0" xfId="0" quotePrefix="1" applyFont="1" applyAlignment="1">
      <alignment horizontal="left"/>
    </xf>
    <xf numFmtId="49" fontId="8" fillId="0" borderId="7" xfId="0" applyNumberFormat="1" applyFont="1" applyBorder="1"/>
    <xf numFmtId="0" fontId="8" fillId="0" borderId="8" xfId="0" applyFont="1" applyBorder="1"/>
    <xf numFmtId="0" fontId="8" fillId="0" borderId="16" xfId="0" applyFont="1" applyBorder="1" applyAlignment="1">
      <alignment horizontal="left"/>
    </xf>
    <xf numFmtId="0" fontId="8" fillId="0" borderId="9" xfId="0" applyFont="1" applyBorder="1"/>
    <xf numFmtId="0" fontId="8" fillId="0" borderId="15" xfId="0" quotePrefix="1" applyFont="1" applyBorder="1" applyAlignment="1">
      <alignment horizontal="left"/>
    </xf>
    <xf numFmtId="0" fontId="8" fillId="0" borderId="0" xfId="0" applyFont="1"/>
    <xf numFmtId="0" fontId="8" fillId="0" borderId="16" xfId="0" applyFont="1" applyBorder="1"/>
    <xf numFmtId="0" fontId="8" fillId="0" borderId="15" xfId="0" applyFont="1" applyBorder="1"/>
    <xf numFmtId="0" fontId="8" fillId="0" borderId="8" xfId="0" applyFont="1" applyBorder="1" applyAlignment="1">
      <alignment horizontal="center"/>
    </xf>
    <xf numFmtId="49" fontId="9" fillId="0" borderId="0" xfId="0" applyNumberFormat="1" applyFont="1"/>
    <xf numFmtId="0" fontId="9" fillId="0" borderId="0" xfId="0" applyFont="1"/>
    <xf numFmtId="49" fontId="8" fillId="0" borderId="12" xfId="0" quotePrefix="1" applyNumberFormat="1" applyFont="1" applyBorder="1"/>
    <xf numFmtId="0" fontId="8" fillId="0" borderId="12" xfId="0" applyFont="1" applyBorder="1"/>
    <xf numFmtId="0" fontId="8" fillId="0" borderId="17" xfId="0" applyFont="1" applyBorder="1"/>
    <xf numFmtId="0" fontId="8" fillId="0" borderId="13" xfId="0" applyFont="1" applyBorder="1"/>
    <xf numFmtId="0" fontId="8" fillId="0" borderId="17" xfId="0" quotePrefix="1" applyFont="1" applyBorder="1" applyAlignment="1">
      <alignment horizontal="left"/>
    </xf>
    <xf numFmtId="0" fontId="8" fillId="0" borderId="18" xfId="0" quotePrefix="1" applyFont="1" applyBorder="1" applyAlignment="1">
      <alignment horizontal="left"/>
    </xf>
    <xf numFmtId="49" fontId="8" fillId="0" borderId="14" xfId="0" applyNumberFormat="1" applyFont="1" applyBorder="1"/>
    <xf numFmtId="0" fontId="8" fillId="0" borderId="14" xfId="0" applyFont="1" applyBorder="1"/>
    <xf numFmtId="0" fontId="8" fillId="0" borderId="4" xfId="0" applyFont="1" applyBorder="1"/>
    <xf numFmtId="0" fontId="8" fillId="0" borderId="7" xfId="0" applyFont="1" applyBorder="1"/>
    <xf numFmtId="0" fontId="8" fillId="0" borderId="11" xfId="0" applyFont="1" applyBorder="1"/>
    <xf numFmtId="0" fontId="8" fillId="0" borderId="6" xfId="0" applyFont="1" applyBorder="1"/>
    <xf numFmtId="49" fontId="11" fillId="0" borderId="14" xfId="0" quotePrefix="1" applyNumberFormat="1" applyFont="1" applyBorder="1"/>
    <xf numFmtId="0" fontId="11" fillId="0" borderId="15" xfId="0" applyFont="1" applyBorder="1"/>
    <xf numFmtId="0" fontId="11" fillId="0" borderId="0" xfId="0" applyFont="1"/>
    <xf numFmtId="0" fontId="11" fillId="0" borderId="16" xfId="0" applyFont="1" applyBorder="1"/>
    <xf numFmtId="49" fontId="11" fillId="0" borderId="7" xfId="0" applyNumberFormat="1" applyFont="1" applyBorder="1"/>
    <xf numFmtId="0" fontId="11" fillId="0" borderId="11" xfId="0" applyFont="1" applyBorder="1"/>
    <xf numFmtId="0" fontId="11" fillId="0" borderId="8" xfId="0" applyFont="1" applyBorder="1"/>
    <xf numFmtId="49" fontId="8" fillId="0" borderId="20" xfId="0" applyNumberFormat="1" applyFont="1" applyBorder="1"/>
    <xf numFmtId="0" fontId="8" fillId="0" borderId="20" xfId="0" applyFont="1" applyBorder="1"/>
    <xf numFmtId="49" fontId="8" fillId="0" borderId="0" xfId="0" applyNumberFormat="1" applyFont="1"/>
    <xf numFmtId="49" fontId="8" fillId="0" borderId="4" xfId="0" applyNumberFormat="1" applyFont="1" applyBorder="1"/>
    <xf numFmtId="0" fontId="11" fillId="0" borderId="0" xfId="0" applyFont="1" applyAlignment="1">
      <alignment horizontal="right"/>
    </xf>
    <xf numFmtId="0" fontId="11" fillId="0" borderId="11" xfId="0" applyFont="1" applyBorder="1" applyAlignment="1">
      <alignment horizontal="right"/>
    </xf>
    <xf numFmtId="49" fontId="11" fillId="0" borderId="0" xfId="0" applyNumberFormat="1" applyFont="1"/>
    <xf numFmtId="4" fontId="8" fillId="0" borderId="0" xfId="0" applyNumberFormat="1" applyFont="1" applyAlignment="1">
      <alignment horizontal="right"/>
    </xf>
    <xf numFmtId="49" fontId="11" fillId="0" borderId="11" xfId="0" applyNumberFormat="1" applyFont="1" applyBorder="1"/>
    <xf numFmtId="49" fontId="8" fillId="0" borderId="6" xfId="0" applyNumberFormat="1" applyFont="1" applyBorder="1"/>
    <xf numFmtId="49" fontId="11" fillId="0" borderId="10" xfId="0" quotePrefix="1" applyNumberFormat="1" applyFont="1" applyBorder="1"/>
    <xf numFmtId="49" fontId="11" fillId="0" borderId="20" xfId="0" applyNumberFormat="1" applyFont="1" applyBorder="1"/>
    <xf numFmtId="0" fontId="11" fillId="0" borderId="20" xfId="0" applyFont="1" applyBorder="1"/>
    <xf numFmtId="0" fontId="8" fillId="0" borderId="0" xfId="0" applyFont="1" applyAlignment="1">
      <alignment horizontal="right"/>
    </xf>
    <xf numFmtId="2" fontId="4" fillId="0" borderId="0" xfId="0" applyNumberFormat="1" applyFont="1" applyAlignment="1">
      <alignment horizontal="center" vertical="center"/>
    </xf>
    <xf numFmtId="165" fontId="4" fillId="0" borderId="0" xfId="0" applyNumberFormat="1" applyFont="1"/>
    <xf numFmtId="49" fontId="3" fillId="0" borderId="0" xfId="0" applyNumberFormat="1" applyFont="1" applyAlignment="1">
      <alignment vertical="center"/>
    </xf>
    <xf numFmtId="0" fontId="3" fillId="0" borderId="0" xfId="0" applyFont="1" applyAlignment="1">
      <alignment vertical="center"/>
    </xf>
    <xf numFmtId="165" fontId="3" fillId="0" borderId="0" xfId="0" applyNumberFormat="1" applyFont="1" applyAlignment="1">
      <alignment vertical="center"/>
    </xf>
    <xf numFmtId="0" fontId="4" fillId="0" borderId="0" xfId="0" applyFont="1" applyAlignment="1">
      <alignment vertical="center"/>
    </xf>
    <xf numFmtId="2" fontId="4" fillId="0" borderId="0" xfId="0" applyNumberFormat="1" applyFont="1" applyAlignment="1">
      <alignment vertical="center"/>
    </xf>
    <xf numFmtId="165" fontId="4" fillId="0" borderId="0" xfId="0" applyNumberFormat="1" applyFont="1" applyAlignment="1">
      <alignment vertical="center"/>
    </xf>
    <xf numFmtId="0" fontId="4" fillId="0" borderId="1" xfId="0" applyFont="1" applyBorder="1" applyAlignment="1">
      <alignment vertical="center"/>
    </xf>
    <xf numFmtId="0" fontId="13" fillId="0" borderId="1" xfId="0" applyFont="1" applyBorder="1" applyAlignment="1">
      <alignment vertical="center"/>
    </xf>
    <xf numFmtId="49" fontId="4" fillId="0" borderId="0" xfId="0" applyNumberFormat="1" applyFont="1" applyAlignment="1">
      <alignment horizontal="center" vertical="center"/>
    </xf>
    <xf numFmtId="166" fontId="4" fillId="0" borderId="0" xfId="0" applyNumberFormat="1" applyFont="1" applyAlignment="1">
      <alignment horizontal="center" vertical="center"/>
    </xf>
    <xf numFmtId="8" fontId="4" fillId="0" borderId="0" xfId="0" applyNumberFormat="1" applyFont="1"/>
    <xf numFmtId="166" fontId="4" fillId="0" borderId="4" xfId="1" applyNumberFormat="1" applyFont="1" applyFill="1" applyBorder="1" applyAlignment="1">
      <alignment horizontal="center" vertical="center" wrapText="1"/>
    </xf>
    <xf numFmtId="0" fontId="4" fillId="0" borderId="0" xfId="0" applyFont="1" applyAlignment="1">
      <alignment horizontal="center" vertical="center" wrapText="1"/>
    </xf>
    <xf numFmtId="166" fontId="4" fillId="0" borderId="6" xfId="1" applyNumberFormat="1" applyFont="1" applyFill="1" applyBorder="1" applyAlignment="1">
      <alignment horizontal="center" vertical="center" wrapText="1"/>
    </xf>
    <xf numFmtId="0" fontId="14" fillId="0" borderId="0" xfId="0" applyFont="1"/>
    <xf numFmtId="166" fontId="4" fillId="0" borderId="1" xfId="0" applyNumberFormat="1" applyFont="1" applyBorder="1" applyAlignment="1">
      <alignment horizontal="center" vertical="center"/>
    </xf>
    <xf numFmtId="165" fontId="14" fillId="0" borderId="0" xfId="0" applyNumberFormat="1" applyFont="1" applyAlignment="1">
      <alignment vertical="center"/>
    </xf>
    <xf numFmtId="165" fontId="5" fillId="0" borderId="6" xfId="3" applyNumberFormat="1" applyFont="1" applyBorder="1" applyAlignment="1">
      <alignment horizontal="center" vertical="center" wrapText="1"/>
    </xf>
    <xf numFmtId="8" fontId="5" fillId="0" borderId="4" xfId="0" applyNumberFormat="1" applyFont="1" applyBorder="1" applyAlignment="1">
      <alignment horizontal="center" vertical="center" wrapText="1"/>
    </xf>
    <xf numFmtId="8" fontId="5" fillId="0" borderId="14" xfId="0" applyNumberFormat="1" applyFont="1" applyBorder="1" applyAlignment="1">
      <alignment horizontal="center" vertical="center" wrapText="1"/>
    </xf>
    <xf numFmtId="9" fontId="5" fillId="0" borderId="6" xfId="2" applyFont="1" applyFill="1" applyBorder="1" applyAlignment="1">
      <alignment horizontal="center" vertical="center" wrapText="1"/>
    </xf>
    <xf numFmtId="8" fontId="20" fillId="0" borderId="0" xfId="0" applyNumberFormat="1" applyFont="1" applyAlignment="1">
      <alignment horizontal="center"/>
    </xf>
    <xf numFmtId="8" fontId="2" fillId="0" borderId="0" xfId="0" applyNumberFormat="1" applyFont="1" applyAlignment="1">
      <alignment horizontal="center"/>
    </xf>
    <xf numFmtId="0" fontId="14" fillId="0" borderId="0" xfId="0" applyFont="1" applyAlignment="1">
      <alignment vertical="center"/>
    </xf>
    <xf numFmtId="2" fontId="4" fillId="0" borderId="1" xfId="0" applyNumberFormat="1" applyFont="1" applyBorder="1" applyAlignment="1">
      <alignment vertical="center"/>
    </xf>
    <xf numFmtId="8" fontId="4" fillId="0" borderId="1" xfId="0" applyNumberFormat="1" applyFont="1" applyBorder="1" applyAlignment="1">
      <alignment vertical="center"/>
    </xf>
    <xf numFmtId="0" fontId="4" fillId="0" borderId="0" xfId="0" applyFont="1" applyAlignment="1">
      <alignment horizontal="center" vertical="center"/>
    </xf>
    <xf numFmtId="8" fontId="4" fillId="0" borderId="0" xfId="1" applyNumberFormat="1" applyFont="1" applyBorder="1" applyAlignment="1">
      <alignment vertical="center"/>
    </xf>
    <xf numFmtId="0" fontId="11" fillId="0" borderId="0" xfId="0" applyFont="1" applyAlignment="1">
      <alignment vertical="center"/>
    </xf>
    <xf numFmtId="0" fontId="21" fillId="0" borderId="0" xfId="0" applyFont="1" applyAlignment="1">
      <alignment vertical="center"/>
    </xf>
    <xf numFmtId="0" fontId="11" fillId="0" borderId="0" xfId="0" applyFont="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horizontal="center" vertical="center"/>
    </xf>
    <xf numFmtId="44" fontId="4" fillId="0" borderId="0" xfId="1" applyFont="1" applyBorder="1"/>
    <xf numFmtId="44" fontId="4" fillId="0" borderId="0" xfId="1" applyFont="1"/>
    <xf numFmtId="0" fontId="11" fillId="0" borderId="1" xfId="0" applyFont="1" applyBorder="1" applyAlignment="1">
      <alignment horizontal="center" vertical="center"/>
    </xf>
    <xf numFmtId="0" fontId="3" fillId="0" borderId="1" xfId="0" applyFont="1" applyBorder="1" applyAlignment="1">
      <alignment horizontal="center" vertical="center"/>
    </xf>
    <xf numFmtId="44" fontId="4" fillId="0" borderId="1" xfId="1" applyFont="1" applyFill="1" applyBorder="1" applyAlignment="1">
      <alignment vertical="center"/>
    </xf>
    <xf numFmtId="20" fontId="4" fillId="0" borderId="1" xfId="0" applyNumberFormat="1" applyFont="1" applyBorder="1" applyAlignment="1">
      <alignment vertical="center"/>
    </xf>
    <xf numFmtId="2" fontId="3" fillId="0" borderId="25" xfId="0" applyNumberFormat="1" applyFont="1" applyBorder="1" applyAlignment="1">
      <alignment vertical="center"/>
    </xf>
    <xf numFmtId="44" fontId="4" fillId="0" borderId="0" xfId="0" applyNumberFormat="1" applyFont="1" applyAlignment="1">
      <alignment vertical="center"/>
    </xf>
    <xf numFmtId="8" fontId="3" fillId="0" borderId="25" xfId="0" applyNumberFormat="1" applyFont="1" applyBorder="1" applyAlignment="1">
      <alignment vertical="center"/>
    </xf>
    <xf numFmtId="0" fontId="4" fillId="0" borderId="11" xfId="0" applyFont="1" applyBorder="1" applyAlignment="1">
      <alignment vertical="center"/>
    </xf>
    <xf numFmtId="44" fontId="3" fillId="0" borderId="25" xfId="0" applyNumberFormat="1" applyFont="1" applyBorder="1" applyAlignment="1">
      <alignment vertical="center"/>
    </xf>
    <xf numFmtId="44" fontId="4" fillId="2" borderId="1" xfId="0" applyNumberFormat="1" applyFont="1" applyFill="1" applyBorder="1" applyAlignment="1">
      <alignment vertical="center"/>
    </xf>
    <xf numFmtId="8" fontId="4" fillId="2" borderId="1" xfId="0" applyNumberFormat="1" applyFont="1" applyFill="1" applyBorder="1" applyAlignment="1">
      <alignment vertical="center"/>
    </xf>
    <xf numFmtId="165" fontId="4" fillId="0" borderId="1" xfId="0" applyNumberFormat="1" applyFont="1" applyBorder="1" applyAlignment="1">
      <alignment vertical="center"/>
    </xf>
    <xf numFmtId="165" fontId="4" fillId="0" borderId="11" xfId="0" applyNumberFormat="1" applyFont="1" applyBorder="1" applyAlignment="1">
      <alignment vertical="center"/>
    </xf>
    <xf numFmtId="0" fontId="16" fillId="0" borderId="0" xfId="0"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166" fontId="14" fillId="0" borderId="0" xfId="0" applyNumberFormat="1" applyFont="1" applyAlignment="1">
      <alignment horizontal="center" vertical="center"/>
    </xf>
    <xf numFmtId="8" fontId="14" fillId="0" borderId="0" xfId="0" applyNumberFormat="1" applyFont="1" applyAlignment="1">
      <alignment vertical="center"/>
    </xf>
    <xf numFmtId="49" fontId="4" fillId="0" borderId="11" xfId="0" applyNumberFormat="1" applyFont="1" applyBorder="1" applyAlignment="1">
      <alignment vertical="center"/>
    </xf>
    <xf numFmtId="49" fontId="4" fillId="0" borderId="11" xfId="0" applyNumberFormat="1" applyFont="1" applyBorder="1" applyAlignment="1">
      <alignment horizontal="center" vertical="center"/>
    </xf>
    <xf numFmtId="166" fontId="4" fillId="0" borderId="11" xfId="0" applyNumberFormat="1" applyFont="1" applyBorder="1" applyAlignment="1">
      <alignment horizontal="center" vertical="center"/>
    </xf>
    <xf numFmtId="8" fontId="4" fillId="0" borderId="11" xfId="0" applyNumberFormat="1" applyFont="1" applyBorder="1" applyAlignment="1">
      <alignment vertical="center"/>
    </xf>
    <xf numFmtId="165" fontId="3" fillId="0" borderId="11" xfId="0" applyNumberFormat="1" applyFont="1" applyBorder="1" applyAlignment="1">
      <alignment horizontal="center" vertical="center"/>
    </xf>
    <xf numFmtId="166" fontId="4" fillId="0" borderId="6" xfId="0" applyNumberFormat="1" applyFont="1" applyBorder="1" applyAlignment="1">
      <alignment horizontal="center" vertical="center"/>
    </xf>
    <xf numFmtId="8" fontId="4" fillId="0" borderId="6" xfId="0" applyNumberFormat="1" applyFont="1" applyBorder="1" applyAlignment="1">
      <alignment vertical="center"/>
    </xf>
    <xf numFmtId="165" fontId="15" fillId="0" borderId="0" xfId="0" applyNumberFormat="1" applyFont="1" applyAlignment="1">
      <alignment vertical="center"/>
    </xf>
    <xf numFmtId="49" fontId="4" fillId="0" borderId="0" xfId="0" applyNumberFormat="1" applyFont="1" applyAlignment="1">
      <alignment vertical="center"/>
    </xf>
    <xf numFmtId="8" fontId="4" fillId="0" borderId="0" xfId="0" applyNumberFormat="1" applyFont="1" applyAlignment="1">
      <alignment vertical="center"/>
    </xf>
    <xf numFmtId="165" fontId="3" fillId="0" borderId="0" xfId="0" applyNumberFormat="1" applyFont="1" applyAlignment="1">
      <alignment horizontal="center" vertical="center"/>
    </xf>
    <xf numFmtId="8" fontId="4" fillId="0" borderId="1" xfId="0" applyNumberFormat="1" applyFont="1" applyBorder="1" applyAlignment="1">
      <alignment horizontal="center" vertical="center" wrapText="1"/>
    </xf>
    <xf numFmtId="0" fontId="23" fillId="0" borderId="0" xfId="4" applyFont="1"/>
    <xf numFmtId="0" fontId="9" fillId="0" borderId="0" xfId="4" applyFont="1"/>
    <xf numFmtId="170" fontId="9" fillId="3" borderId="1" xfId="4" applyNumberFormat="1" applyFont="1" applyFill="1" applyBorder="1" applyAlignment="1">
      <alignment horizontal="center"/>
    </xf>
    <xf numFmtId="170" fontId="9" fillId="3" borderId="1" xfId="4" applyNumberFormat="1" applyFont="1" applyFill="1" applyBorder="1" applyAlignment="1">
      <alignment horizontal="right"/>
    </xf>
    <xf numFmtId="44" fontId="23" fillId="3" borderId="1" xfId="1" applyFont="1" applyFill="1" applyBorder="1" applyAlignment="1" applyProtection="1"/>
    <xf numFmtId="0" fontId="23" fillId="3" borderId="39" xfId="4" applyFont="1" applyFill="1" applyBorder="1" applyAlignment="1">
      <alignment horizontal="left"/>
    </xf>
    <xf numFmtId="44" fontId="23" fillId="3" borderId="40" xfId="1" applyFont="1" applyFill="1" applyBorder="1" applyAlignment="1" applyProtection="1"/>
    <xf numFmtId="0" fontId="23" fillId="0" borderId="41" xfId="4" applyFont="1" applyBorder="1"/>
    <xf numFmtId="44" fontId="23" fillId="0" borderId="44" xfId="1" applyFont="1" applyFill="1" applyBorder="1" applyProtection="1"/>
    <xf numFmtId="0" fontId="23" fillId="0" borderId="42" xfId="4" applyFont="1" applyBorder="1"/>
    <xf numFmtId="44" fontId="23" fillId="0" borderId="25" xfId="1" applyFont="1" applyFill="1" applyBorder="1" applyProtection="1"/>
    <xf numFmtId="0" fontId="10" fillId="0" borderId="0" xfId="4" applyFont="1"/>
    <xf numFmtId="0" fontId="5" fillId="0" borderId="1" xfId="0" applyFont="1" applyBorder="1" applyAlignment="1">
      <alignment horizontal="center" vertical="center"/>
    </xf>
    <xf numFmtId="0" fontId="24" fillId="0" borderId="1" xfId="0" applyFont="1" applyBorder="1" applyAlignment="1">
      <alignment horizontal="center" vertical="center"/>
    </xf>
    <xf numFmtId="2" fontId="4" fillId="0" borderId="2" xfId="0" applyNumberFormat="1" applyFont="1" applyBorder="1" applyAlignment="1">
      <alignment vertical="center"/>
    </xf>
    <xf numFmtId="0" fontId="4" fillId="0" borderId="10" xfId="0" applyFont="1" applyBorder="1" applyAlignment="1">
      <alignment vertical="center"/>
    </xf>
    <xf numFmtId="2" fontId="3" fillId="0" borderId="0" xfId="0" applyNumberFormat="1" applyFont="1" applyAlignment="1">
      <alignment vertical="center"/>
    </xf>
    <xf numFmtId="49" fontId="3" fillId="0" borderId="0" xfId="0" applyNumberFormat="1" applyFont="1" applyAlignment="1">
      <alignment horizontal="right" vertical="center"/>
    </xf>
    <xf numFmtId="2" fontId="3" fillId="0" borderId="0" xfId="0" applyNumberFormat="1" applyFont="1" applyAlignment="1">
      <alignment horizontal="left" vertical="center"/>
    </xf>
    <xf numFmtId="2" fontId="3" fillId="0" borderId="0" xfId="0" applyNumberFormat="1" applyFont="1" applyAlignment="1">
      <alignment horizontal="center" vertical="center"/>
    </xf>
    <xf numFmtId="0" fontId="6" fillId="0" borderId="0" xfId="0" applyFont="1"/>
    <xf numFmtId="0" fontId="6" fillId="0" borderId="0" xfId="0" applyFont="1" applyAlignment="1">
      <alignment horizontal="center"/>
    </xf>
    <xf numFmtId="0" fontId="4" fillId="0" borderId="10" xfId="0" applyFont="1" applyBorder="1" applyAlignment="1">
      <alignment horizontal="right" vertical="center"/>
    </xf>
    <xf numFmtId="2" fontId="4" fillId="5" borderId="2" xfId="0" applyNumberFormat="1" applyFont="1" applyFill="1" applyBorder="1" applyAlignment="1">
      <alignment vertical="center"/>
    </xf>
    <xf numFmtId="2" fontId="4" fillId="5" borderId="1" xfId="0" applyNumberFormat="1" applyFont="1" applyFill="1" applyBorder="1" applyAlignment="1">
      <alignment vertical="center"/>
    </xf>
    <xf numFmtId="8" fontId="5" fillId="0" borderId="8" xfId="0" applyNumberFormat="1" applyFont="1" applyBorder="1" applyAlignment="1">
      <alignment horizontal="center" vertical="center" wrapText="1"/>
    </xf>
    <xf numFmtId="8" fontId="5" fillId="0" borderId="4" xfId="0" applyNumberFormat="1" applyFont="1" applyBorder="1" applyAlignment="1">
      <alignment vertical="center" wrapText="1"/>
    </xf>
    <xf numFmtId="0" fontId="23" fillId="0" borderId="0" xfId="0" applyFont="1"/>
    <xf numFmtId="0" fontId="23" fillId="0" borderId="36" xfId="0" applyFont="1" applyBorder="1"/>
    <xf numFmtId="0" fontId="9" fillId="0" borderId="36" xfId="0" applyFont="1" applyBorder="1"/>
    <xf numFmtId="4" fontId="9" fillId="0" borderId="0" xfId="4" applyNumberFormat="1" applyFont="1"/>
    <xf numFmtId="3" fontId="9" fillId="0" borderId="0" xfId="4" applyNumberFormat="1" applyFont="1"/>
    <xf numFmtId="4" fontId="23" fillId="0" borderId="0" xfId="4" applyNumberFormat="1" applyFont="1"/>
    <xf numFmtId="3" fontId="23" fillId="0" borderId="0" xfId="4" applyNumberFormat="1" applyFont="1"/>
    <xf numFmtId="9" fontId="9" fillId="0" borderId="0" xfId="4" applyNumberFormat="1" applyFont="1"/>
    <xf numFmtId="0" fontId="3" fillId="0" borderId="9" xfId="0" applyFont="1" applyBorder="1" applyAlignment="1">
      <alignment horizontal="center" vertical="center"/>
    </xf>
    <xf numFmtId="8" fontId="4" fillId="4" borderId="1" xfId="0" applyNumberFormat="1" applyFont="1" applyFill="1" applyBorder="1" applyAlignment="1">
      <alignment vertical="center"/>
    </xf>
    <xf numFmtId="8" fontId="4" fillId="4" borderId="6" xfId="0" applyNumberFormat="1" applyFont="1" applyFill="1" applyBorder="1" applyAlignment="1">
      <alignment vertical="center"/>
    </xf>
    <xf numFmtId="9" fontId="4" fillId="4" borderId="1" xfId="2" applyFont="1" applyFill="1" applyBorder="1" applyAlignment="1" applyProtection="1">
      <alignment horizontal="center" vertical="center"/>
    </xf>
    <xf numFmtId="165" fontId="4" fillId="4" borderId="1" xfId="0" applyNumberFormat="1" applyFont="1" applyFill="1" applyBorder="1" applyAlignment="1">
      <alignment vertical="center"/>
    </xf>
    <xf numFmtId="10" fontId="4" fillId="4" borderId="1" xfId="2" applyNumberFormat="1" applyFont="1" applyFill="1" applyBorder="1" applyAlignment="1" applyProtection="1">
      <alignment horizontal="center" vertical="center"/>
    </xf>
    <xf numFmtId="44" fontId="4" fillId="4" borderId="1" xfId="0" applyNumberFormat="1" applyFont="1" applyFill="1" applyBorder="1" applyAlignment="1">
      <alignment vertical="center"/>
    </xf>
    <xf numFmtId="0" fontId="4" fillId="0" borderId="0" xfId="0" applyFont="1" applyAlignment="1">
      <alignment horizontal="left" vertical="center"/>
    </xf>
    <xf numFmtId="165" fontId="3" fillId="0" borderId="0" xfId="0" applyNumberFormat="1" applyFont="1"/>
    <xf numFmtId="165" fontId="27" fillId="0" borderId="0" xfId="0" applyNumberFormat="1" applyFont="1" applyAlignment="1">
      <alignment vertical="center"/>
    </xf>
    <xf numFmtId="165" fontId="28" fillId="0" borderId="0" xfId="0" applyNumberFormat="1" applyFont="1" applyAlignment="1">
      <alignment vertical="center"/>
    </xf>
    <xf numFmtId="2" fontId="3" fillId="0" borderId="11" xfId="0" applyNumberFormat="1" applyFont="1" applyBorder="1" applyAlignment="1">
      <alignment horizontal="center" vertical="center"/>
    </xf>
    <xf numFmtId="0" fontId="11" fillId="0" borderId="0" xfId="4" applyFont="1"/>
    <xf numFmtId="44" fontId="9" fillId="0" borderId="6" xfId="1" applyFont="1" applyFill="1" applyBorder="1" applyAlignment="1" applyProtection="1"/>
    <xf numFmtId="44" fontId="9" fillId="0" borderId="38" xfId="1" applyFont="1" applyFill="1" applyBorder="1" applyAlignment="1" applyProtection="1"/>
    <xf numFmtId="169" fontId="5" fillId="0" borderId="1" xfId="2" applyNumberFormat="1" applyFont="1" applyFill="1" applyBorder="1" applyAlignment="1" applyProtection="1">
      <alignment horizontal="center" vertical="center" wrapText="1"/>
    </xf>
    <xf numFmtId="169" fontId="4" fillId="0" borderId="1" xfId="2" applyNumberFormat="1" applyFont="1" applyFill="1" applyBorder="1" applyAlignment="1" applyProtection="1">
      <alignment horizontal="center" vertical="center" wrapText="1"/>
    </xf>
    <xf numFmtId="10" fontId="4" fillId="0" borderId="1" xfId="2" applyNumberFormat="1" applyFont="1" applyBorder="1" applyAlignment="1" applyProtection="1">
      <alignment vertical="center"/>
    </xf>
    <xf numFmtId="0" fontId="5" fillId="0" borderId="1" xfId="0" applyFont="1" applyBorder="1" applyAlignment="1">
      <alignment horizontal="center" vertical="center" wrapText="1"/>
    </xf>
    <xf numFmtId="0" fontId="3" fillId="0" borderId="0" xfId="0" applyFont="1"/>
    <xf numFmtId="44" fontId="4" fillId="0" borderId="1" xfId="0" applyNumberFormat="1" applyFont="1" applyBorder="1" applyAlignment="1">
      <alignment vertical="center"/>
    </xf>
    <xf numFmtId="44" fontId="4" fillId="0" borderId="1" xfId="1" applyFont="1" applyBorder="1" applyAlignment="1" applyProtection="1">
      <alignment vertical="center"/>
    </xf>
    <xf numFmtId="0" fontId="4" fillId="0" borderId="4" xfId="0" applyFont="1" applyBorder="1" applyAlignment="1">
      <alignment vertical="center"/>
    </xf>
    <xf numFmtId="44" fontId="16" fillId="0" borderId="0" xfId="0" applyNumberFormat="1" applyFont="1" applyAlignment="1">
      <alignment vertical="center"/>
    </xf>
    <xf numFmtId="171" fontId="4" fillId="0" borderId="1" xfId="0" applyNumberFormat="1" applyFont="1" applyBorder="1" applyAlignment="1">
      <alignment vertical="center"/>
    </xf>
    <xf numFmtId="44" fontId="16" fillId="0" borderId="1" xfId="0" applyNumberFormat="1" applyFont="1" applyBorder="1" applyAlignment="1">
      <alignment vertical="center"/>
    </xf>
    <xf numFmtId="165" fontId="4" fillId="0" borderId="6" xfId="0" applyNumberFormat="1" applyFont="1" applyBorder="1" applyAlignment="1">
      <alignment vertical="center"/>
    </xf>
    <xf numFmtId="0" fontId="16" fillId="0" borderId="1" xfId="0" applyFont="1" applyBorder="1" applyAlignment="1">
      <alignment vertical="center"/>
    </xf>
    <xf numFmtId="10" fontId="4" fillId="0" borderId="25" xfId="2" applyNumberFormat="1" applyFont="1" applyBorder="1" applyAlignment="1" applyProtection="1">
      <alignment vertical="center"/>
    </xf>
    <xf numFmtId="10" fontId="4" fillId="0" borderId="0" xfId="2" applyNumberFormat="1" applyFont="1" applyAlignment="1" applyProtection="1">
      <alignment vertical="center"/>
    </xf>
    <xf numFmtId="169" fontId="3" fillId="0" borderId="25" xfId="0" applyNumberFormat="1" applyFont="1" applyBorder="1" applyAlignment="1">
      <alignment vertical="center"/>
    </xf>
    <xf numFmtId="0" fontId="3" fillId="0" borderId="0" xfId="0" applyFont="1" applyAlignment="1">
      <alignment horizontal="left"/>
    </xf>
    <xf numFmtId="166" fontId="24" fillId="0" borderId="4" xfId="1" applyNumberFormat="1" applyFont="1" applyFill="1" applyBorder="1" applyAlignment="1">
      <alignment horizontal="center" vertical="center" wrapText="1"/>
    </xf>
    <xf numFmtId="169" fontId="24" fillId="0" borderId="1" xfId="2" applyNumberFormat="1" applyFont="1" applyFill="1" applyBorder="1" applyAlignment="1" applyProtection="1">
      <alignment horizontal="center" vertical="center" wrapText="1"/>
    </xf>
    <xf numFmtId="165" fontId="4" fillId="0" borderId="1" xfId="0" applyNumberFormat="1" applyFont="1" applyBorder="1" applyAlignment="1">
      <alignment horizontal="right" vertical="center"/>
    </xf>
    <xf numFmtId="0" fontId="32" fillId="0" borderId="0" xfId="5" applyFont="1"/>
    <xf numFmtId="0" fontId="31" fillId="0" borderId="0" xfId="5" applyFont="1"/>
    <xf numFmtId="0" fontId="9" fillId="0" borderId="14" xfId="0" applyFont="1" applyBorder="1"/>
    <xf numFmtId="0" fontId="9" fillId="0" borderId="15" xfId="0" applyFont="1" applyBorder="1" applyAlignment="1">
      <alignment horizontal="center"/>
    </xf>
    <xf numFmtId="0" fontId="9" fillId="0" borderId="1" xfId="0" applyFont="1" applyBorder="1" applyAlignment="1">
      <alignment horizontal="center"/>
    </xf>
    <xf numFmtId="2" fontId="9" fillId="0" borderId="1" xfId="0" applyNumberFormat="1" applyFont="1" applyBorder="1" applyAlignment="1">
      <alignment horizontal="center"/>
    </xf>
    <xf numFmtId="0" fontId="4" fillId="0" borderId="1" xfId="0" applyFont="1" applyBorder="1"/>
    <xf numFmtId="4" fontId="9" fillId="0" borderId="1" xfId="0" applyNumberFormat="1" applyFont="1" applyBorder="1"/>
    <xf numFmtId="0" fontId="4" fillId="0" borderId="1" xfId="0" applyFont="1" applyBorder="1" applyAlignment="1">
      <alignment horizontal="center"/>
    </xf>
    <xf numFmtId="44" fontId="3" fillId="0" borderId="25" xfId="0" applyNumberFormat="1" applyFont="1" applyBorder="1"/>
    <xf numFmtId="0" fontId="21" fillId="0" borderId="0" xfId="0" applyFont="1"/>
    <xf numFmtId="0" fontId="9" fillId="0" borderId="2" xfId="0" applyFont="1" applyBorder="1" applyAlignment="1">
      <alignment horizontal="center"/>
    </xf>
    <xf numFmtId="2" fontId="9" fillId="0" borderId="2" xfId="0" applyNumberFormat="1" applyFont="1" applyBorder="1"/>
    <xf numFmtId="0" fontId="9" fillId="0" borderId="10" xfId="5" applyFont="1" applyBorder="1"/>
    <xf numFmtId="2" fontId="9" fillId="0" borderId="10" xfId="0" applyNumberFormat="1" applyFont="1" applyBorder="1"/>
    <xf numFmtId="165" fontId="4" fillId="0" borderId="2" xfId="0" applyNumberFormat="1" applyFont="1" applyBorder="1" applyAlignment="1">
      <alignment vertical="center"/>
    </xf>
    <xf numFmtId="0" fontId="26" fillId="0" borderId="0" xfId="0" applyFont="1"/>
    <xf numFmtId="165" fontId="26" fillId="0" borderId="1" xfId="0" applyNumberFormat="1" applyFont="1" applyBorder="1" applyAlignment="1">
      <alignment vertical="center"/>
    </xf>
    <xf numFmtId="165" fontId="36" fillId="0" borderId="0" xfId="0" applyNumberFormat="1" applyFont="1" applyAlignment="1">
      <alignment vertical="center"/>
    </xf>
    <xf numFmtId="165" fontId="26" fillId="0" borderId="0" xfId="0" applyNumberFormat="1" applyFont="1" applyAlignment="1">
      <alignment vertical="center"/>
    </xf>
    <xf numFmtId="0" fontId="26" fillId="0" borderId="0" xfId="0" applyFont="1" applyAlignment="1">
      <alignment vertical="center"/>
    </xf>
    <xf numFmtId="0" fontId="33" fillId="0" borderId="0" xfId="0" applyFont="1"/>
    <xf numFmtId="0" fontId="9" fillId="0" borderId="0" xfId="5" applyFont="1"/>
    <xf numFmtId="2" fontId="9" fillId="0" borderId="0" xfId="0" applyNumberFormat="1" applyFont="1"/>
    <xf numFmtId="1" fontId="4" fillId="0" borderId="1" xfId="0" applyNumberFormat="1" applyFont="1" applyBorder="1" applyAlignment="1">
      <alignment vertical="center"/>
    </xf>
    <xf numFmtId="3" fontId="3" fillId="0" borderId="25" xfId="0" applyNumberFormat="1" applyFont="1" applyBorder="1" applyAlignment="1">
      <alignment vertical="center"/>
    </xf>
    <xf numFmtId="44" fontId="4" fillId="0" borderId="1" xfId="1" applyFont="1" applyBorder="1" applyAlignment="1">
      <alignment vertical="center"/>
    </xf>
    <xf numFmtId="0" fontId="23" fillId="0" borderId="15" xfId="0" applyFont="1" applyBorder="1" applyAlignment="1">
      <alignment horizontal="center"/>
    </xf>
    <xf numFmtId="0" fontId="23" fillId="0" borderId="15" xfId="0" applyFont="1" applyBorder="1"/>
    <xf numFmtId="0" fontId="31" fillId="0" borderId="0" xfId="5" applyFont="1" applyAlignment="1">
      <alignment horizontal="center"/>
    </xf>
    <xf numFmtId="10" fontId="32" fillId="0" borderId="0" xfId="5" applyNumberFormat="1" applyFont="1"/>
    <xf numFmtId="2" fontId="23" fillId="0" borderId="25" xfId="0" applyNumberFormat="1" applyFont="1" applyBorder="1"/>
    <xf numFmtId="4" fontId="8" fillId="0" borderId="11" xfId="0" applyNumberFormat="1" applyFont="1" applyBorder="1" applyAlignment="1">
      <alignment horizontal="center"/>
    </xf>
    <xf numFmtId="0" fontId="15" fillId="0" borderId="0" xfId="0" applyFont="1" applyAlignment="1">
      <alignment vertical="center"/>
    </xf>
    <xf numFmtId="172" fontId="4" fillId="0" borderId="1" xfId="0" applyNumberFormat="1" applyFont="1" applyBorder="1" applyAlignment="1">
      <alignment vertical="center"/>
    </xf>
    <xf numFmtId="0" fontId="15" fillId="0" borderId="0" xfId="0" applyFont="1"/>
    <xf numFmtId="0" fontId="37" fillId="0" borderId="0" xfId="0" applyFont="1" applyAlignment="1">
      <alignment horizontal="center" vertical="center" wrapText="1"/>
    </xf>
    <xf numFmtId="0" fontId="38" fillId="0" borderId="0" xfId="0" applyFont="1"/>
    <xf numFmtId="49" fontId="5" fillId="0" borderId="0" xfId="1" applyNumberFormat="1" applyFont="1" applyBorder="1" applyAlignment="1">
      <alignment horizontal="center" vertical="center" wrapText="1"/>
    </xf>
    <xf numFmtId="166" fontId="5" fillId="0" borderId="0" xfId="1" applyNumberFormat="1" applyFont="1" applyBorder="1" applyAlignment="1">
      <alignment horizontal="center" vertical="center" wrapText="1"/>
    </xf>
    <xf numFmtId="166" fontId="4" fillId="0" borderId="0" xfId="1" applyNumberFormat="1" applyFont="1" applyFill="1" applyBorder="1" applyAlignment="1">
      <alignment horizontal="center" vertical="center" wrapText="1"/>
    </xf>
    <xf numFmtId="8" fontId="5" fillId="0" borderId="0" xfId="0" applyNumberFormat="1" applyFont="1" applyAlignment="1">
      <alignment horizontal="center" vertical="center" wrapText="1"/>
    </xf>
    <xf numFmtId="8" fontId="4" fillId="0" borderId="0" xfId="0" applyNumberFormat="1" applyFont="1" applyAlignment="1">
      <alignment horizontal="center" vertical="center" wrapText="1"/>
    </xf>
    <xf numFmtId="8" fontId="5" fillId="0" borderId="15" xfId="0" applyNumberFormat="1" applyFont="1" applyBorder="1" applyAlignment="1">
      <alignment horizontal="center" vertical="center" wrapText="1"/>
    </xf>
    <xf numFmtId="9" fontId="5" fillId="0" borderId="15" xfId="2" applyFont="1" applyFill="1" applyBorder="1" applyAlignment="1">
      <alignment horizontal="center" vertical="center" wrapText="1"/>
    </xf>
    <xf numFmtId="165" fontId="5" fillId="0" borderId="15" xfId="3" applyNumberFormat="1" applyFont="1" applyBorder="1" applyAlignment="1">
      <alignment horizontal="center" vertical="center" wrapText="1"/>
    </xf>
    <xf numFmtId="0" fontId="5" fillId="0" borderId="15" xfId="0" applyFont="1" applyBorder="1" applyAlignment="1">
      <alignment horizontal="center" vertical="center" wrapText="1"/>
    </xf>
    <xf numFmtId="0" fontId="35" fillId="0" borderId="15" xfId="0" applyFont="1" applyBorder="1" applyAlignment="1">
      <alignment horizontal="center" vertical="center" wrapText="1"/>
    </xf>
    <xf numFmtId="8" fontId="14" fillId="0" borderId="11" xfId="0" applyNumberFormat="1" applyFont="1" applyBorder="1" applyAlignment="1">
      <alignment vertical="center"/>
    </xf>
    <xf numFmtId="0" fontId="14" fillId="0" borderId="11" xfId="0" applyFont="1" applyBorder="1" applyAlignment="1">
      <alignment vertical="center"/>
    </xf>
    <xf numFmtId="165" fontId="14" fillId="0" borderId="11" xfId="0" applyNumberFormat="1" applyFont="1" applyBorder="1" applyAlignment="1">
      <alignment vertical="center"/>
    </xf>
    <xf numFmtId="0" fontId="36" fillId="0" borderId="11" xfId="0" applyFont="1" applyBorder="1" applyAlignment="1">
      <alignment vertical="center"/>
    </xf>
    <xf numFmtId="169" fontId="5" fillId="0" borderId="0" xfId="2" applyNumberFormat="1" applyFont="1" applyFill="1" applyBorder="1" applyAlignment="1" applyProtection="1">
      <alignment horizontal="center" vertical="center" wrapText="1"/>
    </xf>
    <xf numFmtId="169" fontId="24" fillId="0" borderId="0" xfId="2" applyNumberFormat="1" applyFont="1" applyFill="1" applyBorder="1" applyAlignment="1" applyProtection="1">
      <alignment horizontal="center" vertical="center" wrapText="1"/>
    </xf>
    <xf numFmtId="10" fontId="4" fillId="0" borderId="0" xfId="2" applyNumberFormat="1" applyFont="1" applyFill="1" applyBorder="1" applyAlignment="1" applyProtection="1">
      <alignment horizontal="center" vertical="center"/>
    </xf>
    <xf numFmtId="8" fontId="39" fillId="0" borderId="11" xfId="0" applyNumberFormat="1" applyFont="1" applyBorder="1" applyAlignment="1" applyProtection="1">
      <alignment vertical="center"/>
      <protection locked="0" hidden="1"/>
    </xf>
    <xf numFmtId="10" fontId="4" fillId="0" borderId="0" xfId="2" applyNumberFormat="1" applyFont="1" applyFill="1" applyBorder="1" applyAlignment="1" applyProtection="1">
      <alignment horizontal="center" vertical="center" wrapText="1"/>
    </xf>
    <xf numFmtId="9" fontId="5" fillId="0" borderId="15" xfId="2" applyFont="1" applyFill="1" applyBorder="1" applyAlignment="1">
      <alignment horizontal="left" vertical="center"/>
    </xf>
    <xf numFmtId="165" fontId="5" fillId="0" borderId="15" xfId="3" applyNumberFormat="1" applyFont="1" applyFill="1" applyBorder="1" applyAlignment="1">
      <alignment horizontal="center" vertical="center" wrapText="1"/>
    </xf>
    <xf numFmtId="0" fontId="9" fillId="0" borderId="3" xfId="0" applyFont="1" applyBorder="1" applyAlignment="1">
      <alignment horizontal="center"/>
    </xf>
    <xf numFmtId="0" fontId="9" fillId="0" borderId="6" xfId="0" applyFont="1" applyBorder="1" applyAlignment="1">
      <alignment wrapText="1"/>
    </xf>
    <xf numFmtId="0" fontId="9" fillId="0" borderId="5" xfId="0" applyFont="1" applyBorder="1"/>
    <xf numFmtId="49" fontId="41" fillId="0" borderId="0" xfId="0" applyNumberFormat="1" applyFont="1"/>
    <xf numFmtId="0" fontId="8" fillId="6" borderId="11" xfId="0" applyFont="1" applyFill="1" applyBorder="1" applyAlignment="1" applyProtection="1">
      <alignment horizontal="center"/>
      <protection locked="0"/>
    </xf>
    <xf numFmtId="167" fontId="8" fillId="6" borderId="11" xfId="2" applyNumberFormat="1" applyFont="1" applyFill="1" applyBorder="1" applyAlignment="1" applyProtection="1">
      <alignment horizontal="center"/>
      <protection locked="0"/>
    </xf>
    <xf numFmtId="0" fontId="8" fillId="6" borderId="0" xfId="0" applyFont="1" applyFill="1"/>
    <xf numFmtId="2" fontId="4" fillId="6" borderId="1" xfId="0" applyNumberFormat="1" applyFont="1" applyFill="1" applyBorder="1" applyAlignment="1" applyProtection="1">
      <alignment horizontal="center" vertical="center"/>
      <protection locked="0"/>
    </xf>
    <xf numFmtId="0" fontId="4" fillId="6" borderId="1" xfId="0" applyFont="1" applyFill="1" applyBorder="1" applyAlignment="1" applyProtection="1">
      <alignment vertical="center"/>
      <protection locked="0"/>
    </xf>
    <xf numFmtId="165" fontId="4" fillId="6" borderId="1" xfId="0" applyNumberFormat="1" applyFont="1" applyFill="1" applyBorder="1" applyAlignment="1" applyProtection="1">
      <alignment vertical="center"/>
      <protection locked="0"/>
    </xf>
    <xf numFmtId="2" fontId="4" fillId="6" borderId="2" xfId="0" applyNumberFormat="1" applyFont="1" applyFill="1" applyBorder="1" applyAlignment="1" applyProtection="1">
      <alignment vertical="center"/>
      <protection locked="0"/>
    </xf>
    <xf numFmtId="2" fontId="4" fillId="6" borderId="6" xfId="0" applyNumberFormat="1" applyFont="1" applyFill="1" applyBorder="1" applyAlignment="1" applyProtection="1">
      <alignment horizontal="center" vertical="center"/>
      <protection locked="0"/>
    </xf>
    <xf numFmtId="167" fontId="3" fillId="6" borderId="1" xfId="2" applyNumberFormat="1" applyFont="1" applyFill="1" applyBorder="1" applyAlignment="1" applyProtection="1">
      <alignment vertical="center"/>
      <protection locked="0"/>
    </xf>
    <xf numFmtId="10" fontId="4" fillId="6" borderId="1" xfId="2" applyNumberFormat="1" applyFont="1" applyFill="1" applyBorder="1" applyAlignment="1" applyProtection="1">
      <alignment horizontal="center" vertical="center"/>
      <protection locked="0"/>
    </xf>
    <xf numFmtId="49" fontId="4" fillId="6" borderId="1" xfId="0" applyNumberFormat="1" applyFont="1" applyFill="1" applyBorder="1" applyAlignment="1" applyProtection="1">
      <alignment vertical="center"/>
      <protection locked="0"/>
    </xf>
    <xf numFmtId="49" fontId="4" fillId="6" borderId="1" xfId="0" applyNumberFormat="1" applyFont="1" applyFill="1" applyBorder="1" applyAlignment="1" applyProtection="1">
      <alignment horizontal="center" vertical="center"/>
      <protection locked="0"/>
    </xf>
    <xf numFmtId="166" fontId="4" fillId="6" borderId="1" xfId="0" applyNumberFormat="1" applyFont="1" applyFill="1" applyBorder="1" applyAlignment="1" applyProtection="1">
      <alignment horizontal="center" vertical="center"/>
      <protection locked="0"/>
    </xf>
    <xf numFmtId="8" fontId="4" fillId="6" borderId="1" xfId="0" applyNumberFormat="1" applyFont="1" applyFill="1" applyBorder="1" applyAlignment="1" applyProtection="1">
      <alignment vertical="center"/>
      <protection locked="0"/>
    </xf>
    <xf numFmtId="10" fontId="4" fillId="6" borderId="1" xfId="2" applyNumberFormat="1" applyFont="1" applyFill="1" applyBorder="1" applyAlignment="1" applyProtection="1">
      <alignment horizontal="right" vertical="center"/>
      <protection locked="0"/>
    </xf>
    <xf numFmtId="49" fontId="4" fillId="6" borderId="6" xfId="0" applyNumberFormat="1" applyFont="1" applyFill="1" applyBorder="1" applyAlignment="1" applyProtection="1">
      <alignment vertical="center"/>
      <protection locked="0"/>
    </xf>
    <xf numFmtId="49" fontId="4" fillId="6" borderId="6" xfId="0" applyNumberFormat="1" applyFont="1" applyFill="1" applyBorder="1" applyAlignment="1" applyProtection="1">
      <alignment horizontal="center" vertical="center"/>
      <protection locked="0"/>
    </xf>
    <xf numFmtId="166" fontId="4" fillId="6" borderId="6" xfId="0" applyNumberFormat="1" applyFont="1" applyFill="1" applyBorder="1" applyAlignment="1" applyProtection="1">
      <alignment horizontal="center" vertical="center"/>
      <protection locked="0"/>
    </xf>
    <xf numFmtId="8" fontId="4" fillId="6" borderId="6" xfId="0" applyNumberFormat="1" applyFont="1" applyFill="1" applyBorder="1" applyAlignment="1" applyProtection="1">
      <alignment vertical="center"/>
      <protection locked="0"/>
    </xf>
    <xf numFmtId="10" fontId="4" fillId="6" borderId="6" xfId="2" applyNumberFormat="1" applyFont="1" applyFill="1" applyBorder="1" applyAlignment="1" applyProtection="1">
      <alignment horizontal="right" vertical="center"/>
      <protection locked="0"/>
    </xf>
    <xf numFmtId="20" fontId="4" fillId="6" borderId="1" xfId="0" applyNumberFormat="1" applyFont="1" applyFill="1" applyBorder="1" applyAlignment="1" applyProtection="1">
      <alignment vertical="center"/>
      <protection locked="0"/>
    </xf>
    <xf numFmtId="44" fontId="4" fillId="6" borderId="1" xfId="1" applyFont="1" applyFill="1" applyBorder="1" applyAlignment="1" applyProtection="1">
      <alignment vertical="center"/>
      <protection locked="0"/>
    </xf>
    <xf numFmtId="10" fontId="4" fillId="6" borderId="1" xfId="0" applyNumberFormat="1" applyFont="1" applyFill="1" applyBorder="1" applyAlignment="1" applyProtection="1">
      <alignment vertical="center"/>
      <protection locked="0"/>
    </xf>
    <xf numFmtId="2" fontId="4" fillId="6" borderId="1" xfId="1" applyNumberFormat="1" applyFont="1" applyFill="1" applyBorder="1" applyAlignment="1" applyProtection="1">
      <alignment vertical="center"/>
      <protection locked="0"/>
    </xf>
    <xf numFmtId="173" fontId="4" fillId="6" borderId="1" xfId="0" applyNumberFormat="1" applyFont="1" applyFill="1" applyBorder="1" applyAlignment="1" applyProtection="1">
      <alignment vertical="center"/>
      <protection locked="0"/>
    </xf>
    <xf numFmtId="10" fontId="4" fillId="6" borderId="1" xfId="2" applyNumberFormat="1" applyFont="1" applyFill="1" applyBorder="1" applyAlignment="1" applyProtection="1">
      <alignment horizontal="center" vertical="center" wrapText="1"/>
      <protection locked="0"/>
    </xf>
    <xf numFmtId="10" fontId="4" fillId="6" borderId="1" xfId="2" applyNumberFormat="1" applyFont="1" applyFill="1" applyBorder="1" applyAlignment="1" applyProtection="1">
      <alignment vertical="center"/>
      <protection locked="0"/>
    </xf>
    <xf numFmtId="169" fontId="4" fillId="6" borderId="1" xfId="2" applyNumberFormat="1" applyFont="1" applyFill="1" applyBorder="1" applyAlignment="1" applyProtection="1">
      <alignment vertical="center"/>
      <protection locked="0"/>
    </xf>
    <xf numFmtId="169" fontId="4" fillId="6" borderId="4" xfId="2" applyNumberFormat="1" applyFont="1" applyFill="1" applyBorder="1" applyAlignment="1" applyProtection="1">
      <alignment vertical="center"/>
      <protection locked="0"/>
    </xf>
    <xf numFmtId="44" fontId="4" fillId="6" borderId="1" xfId="2" applyNumberFormat="1" applyFont="1" applyFill="1" applyBorder="1" applyAlignment="1" applyProtection="1">
      <alignment vertical="center"/>
      <protection locked="0"/>
    </xf>
    <xf numFmtId="10" fontId="16" fillId="6" borderId="1" xfId="2" applyNumberFormat="1" applyFont="1" applyFill="1" applyBorder="1" applyAlignment="1" applyProtection="1">
      <alignment vertical="center"/>
      <protection locked="0"/>
    </xf>
    <xf numFmtId="0" fontId="9" fillId="6" borderId="37" xfId="4" applyFont="1" applyFill="1" applyBorder="1" applyAlignment="1" applyProtection="1">
      <alignment horizontal="left"/>
      <protection locked="0"/>
    </xf>
    <xf numFmtId="0" fontId="9" fillId="6" borderId="6" xfId="4" applyFont="1" applyFill="1" applyBorder="1" applyAlignment="1" applyProtection="1">
      <alignment horizontal="center"/>
      <protection locked="0"/>
    </xf>
    <xf numFmtId="44" fontId="9" fillId="6" borderId="6" xfId="1" applyFont="1" applyFill="1" applyBorder="1" applyAlignment="1" applyProtection="1">
      <protection locked="0"/>
    </xf>
    <xf numFmtId="0" fontId="9" fillId="6" borderId="39" xfId="4" applyFont="1" applyFill="1" applyBorder="1" applyAlignment="1" applyProtection="1">
      <alignment horizontal="left"/>
      <protection locked="0"/>
    </xf>
    <xf numFmtId="0" fontId="9" fillId="6" borderId="1" xfId="4" applyFont="1" applyFill="1" applyBorder="1" applyAlignment="1" applyProtection="1">
      <alignment horizontal="center"/>
      <protection locked="0"/>
    </xf>
    <xf numFmtId="44" fontId="9" fillId="6" borderId="1" xfId="1" applyFont="1" applyFill="1" applyBorder="1" applyAlignment="1" applyProtection="1">
      <protection locked="0"/>
    </xf>
    <xf numFmtId="44" fontId="9" fillId="6" borderId="1" xfId="1" applyFont="1" applyFill="1" applyBorder="1" applyAlignment="1" applyProtection="1">
      <alignment horizontal="center"/>
      <protection locked="0"/>
    </xf>
    <xf numFmtId="0" fontId="9" fillId="6" borderId="1" xfId="4" applyFont="1" applyFill="1" applyBorder="1" applyProtection="1">
      <protection locked="0"/>
    </xf>
    <xf numFmtId="3" fontId="9" fillId="6" borderId="1" xfId="4" applyNumberFormat="1" applyFont="1" applyFill="1" applyBorder="1" applyProtection="1">
      <protection locked="0"/>
    </xf>
    <xf numFmtId="3" fontId="9" fillId="6" borderId="1" xfId="0" applyNumberFormat="1" applyFont="1" applyFill="1" applyBorder="1" applyProtection="1">
      <protection locked="0"/>
    </xf>
    <xf numFmtId="44" fontId="9" fillId="6" borderId="45" xfId="1" applyFont="1" applyFill="1" applyBorder="1" applyAlignment="1" applyProtection="1">
      <protection locked="0"/>
    </xf>
    <xf numFmtId="3" fontId="9" fillId="6" borderId="6" xfId="4" applyNumberFormat="1" applyFont="1" applyFill="1" applyBorder="1" applyProtection="1">
      <protection locked="0"/>
    </xf>
    <xf numFmtId="169" fontId="42" fillId="0" borderId="0" xfId="2" applyNumberFormat="1" applyFont="1" applyFill="1" applyBorder="1" applyAlignment="1" applyProtection="1">
      <alignment horizontal="left" vertical="center"/>
    </xf>
    <xf numFmtId="0" fontId="42" fillId="0" borderId="0" xfId="0" applyFont="1"/>
    <xf numFmtId="2" fontId="12" fillId="0" borderId="0" xfId="0" applyNumberFormat="1" applyFont="1" applyAlignment="1">
      <alignment horizontal="center" vertical="center" wrapText="1"/>
    </xf>
    <xf numFmtId="165" fontId="3" fillId="0" borderId="1" xfId="0" applyNumberFormat="1" applyFont="1" applyBorder="1" applyAlignment="1">
      <alignment vertical="center"/>
    </xf>
    <xf numFmtId="0" fontId="44" fillId="0" borderId="0" xfId="0" applyFont="1"/>
    <xf numFmtId="44" fontId="4" fillId="0" borderId="0" xfId="1" applyFont="1" applyAlignment="1">
      <alignment vertical="center"/>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49" fontId="5" fillId="0" borderId="4"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166" fontId="5" fillId="0" borderId="4" xfId="1" applyNumberFormat="1" applyFont="1" applyBorder="1" applyAlignment="1">
      <alignment horizontal="center" vertical="center" wrapText="1"/>
    </xf>
    <xf numFmtId="166" fontId="5" fillId="0" borderId="6" xfId="1" applyNumberFormat="1" applyFont="1" applyBorder="1" applyAlignment="1">
      <alignment horizontal="center" vertical="center" wrapText="1"/>
    </xf>
    <xf numFmtId="8" fontId="5" fillId="0" borderId="4" xfId="0" applyNumberFormat="1" applyFont="1" applyBorder="1" applyAlignment="1">
      <alignment horizontal="center" vertical="center" wrapText="1"/>
    </xf>
    <xf numFmtId="8" fontId="5" fillId="0" borderId="6" xfId="0" applyNumberFormat="1" applyFont="1" applyBorder="1" applyAlignment="1">
      <alignment horizontal="center" vertical="center" wrapText="1"/>
    </xf>
    <xf numFmtId="8" fontId="5" fillId="0" borderId="14" xfId="0" applyNumberFormat="1" applyFont="1" applyBorder="1" applyAlignment="1">
      <alignment horizontal="center" vertical="center" wrapText="1"/>
    </xf>
    <xf numFmtId="8" fontId="5" fillId="0" borderId="7" xfId="0" applyNumberFormat="1" applyFont="1" applyBorder="1" applyAlignment="1">
      <alignment horizontal="center" vertical="center" wrapText="1"/>
    </xf>
    <xf numFmtId="0" fontId="10" fillId="0" borderId="11" xfId="0" quotePrefix="1" applyFont="1" applyBorder="1" applyAlignment="1">
      <alignment horizontal="center"/>
    </xf>
    <xf numFmtId="0" fontId="10" fillId="0" borderId="8" xfId="0" quotePrefix="1" applyFont="1" applyBorder="1" applyAlignment="1">
      <alignment horizontal="center"/>
    </xf>
    <xf numFmtId="0" fontId="8" fillId="6" borderId="10" xfId="0" applyFont="1" applyFill="1" applyBorder="1" applyProtection="1">
      <protection locked="0"/>
    </xf>
    <xf numFmtId="0" fontId="8" fillId="6" borderId="0" xfId="0" applyFont="1" applyFill="1" applyProtection="1">
      <protection locked="0"/>
    </xf>
    <xf numFmtId="0" fontId="8" fillId="6" borderId="9" xfId="0" applyFont="1" applyFill="1" applyBorder="1" applyProtection="1">
      <protection locked="0"/>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8" fillId="0" borderId="14" xfId="0" applyFont="1" applyBorder="1" applyAlignment="1">
      <alignment horizontal="left" vertical="center"/>
    </xf>
    <xf numFmtId="0" fontId="8" fillId="0" borderId="7" xfId="0" applyFont="1" applyBorder="1" applyAlignment="1">
      <alignment horizontal="left" vertical="center"/>
    </xf>
    <xf numFmtId="4" fontId="8" fillId="0" borderId="4" xfId="0" applyNumberFormat="1" applyFont="1" applyBorder="1" applyAlignment="1">
      <alignment horizontal="right" vertical="center"/>
    </xf>
    <xf numFmtId="4" fontId="8" fillId="0" borderId="6" xfId="0" applyNumberFormat="1" applyFont="1" applyBorder="1" applyAlignment="1">
      <alignment horizontal="right" vertical="center"/>
    </xf>
    <xf numFmtId="0" fontId="8" fillId="6" borderId="14" xfId="0" applyFont="1" applyFill="1" applyBorder="1" applyProtection="1">
      <protection locked="0"/>
    </xf>
    <xf numFmtId="0" fontId="8" fillId="6" borderId="15" xfId="0" applyFont="1" applyFill="1" applyBorder="1" applyProtection="1">
      <protection locked="0"/>
    </xf>
    <xf numFmtId="0" fontId="8" fillId="6" borderId="16" xfId="0" applyFont="1" applyFill="1" applyBorder="1" applyProtection="1">
      <protection locked="0"/>
    </xf>
    <xf numFmtId="0" fontId="8" fillId="6" borderId="7" xfId="0" applyFont="1" applyFill="1" applyBorder="1" applyProtection="1">
      <protection locked="0"/>
    </xf>
    <xf numFmtId="0" fontId="8" fillId="6" borderId="11" xfId="0" applyFont="1" applyFill="1" applyBorder="1" applyProtection="1">
      <protection locked="0"/>
    </xf>
    <xf numFmtId="0" fontId="8" fillId="6" borderId="8" xfId="0" applyFont="1" applyFill="1" applyBorder="1" applyProtection="1">
      <protection locked="0"/>
    </xf>
    <xf numFmtId="0" fontId="8" fillId="6" borderId="11" xfId="0" quotePrefix="1" applyFont="1" applyFill="1" applyBorder="1" applyAlignment="1" applyProtection="1">
      <alignment horizontal="left"/>
      <protection locked="0"/>
    </xf>
    <xf numFmtId="0" fontId="8" fillId="6" borderId="8" xfId="0" quotePrefix="1" applyFont="1" applyFill="1" applyBorder="1" applyAlignment="1" applyProtection="1">
      <alignment horizontal="left"/>
      <protection locked="0"/>
    </xf>
    <xf numFmtId="0" fontId="8" fillId="6" borderId="11" xfId="0" applyFont="1" applyFill="1" applyBorder="1" applyAlignment="1" applyProtection="1">
      <alignment horizontal="left" vertical="center" wrapText="1"/>
      <protection locked="0"/>
    </xf>
    <xf numFmtId="0" fontId="8" fillId="6" borderId="8" xfId="0" applyFont="1" applyFill="1" applyBorder="1" applyAlignment="1" applyProtection="1">
      <alignment horizontal="left" vertical="center" wrapText="1"/>
      <protection locked="0"/>
    </xf>
    <xf numFmtId="2" fontId="8" fillId="0" borderId="4" xfId="0" applyNumberFormat="1" applyFont="1" applyBorder="1" applyAlignment="1">
      <alignment horizontal="right" vertical="center"/>
    </xf>
    <xf numFmtId="2" fontId="8" fillId="0" borderId="6" xfId="0" applyNumberFormat="1" applyFont="1" applyBorder="1" applyAlignment="1">
      <alignment horizontal="right" vertical="center"/>
    </xf>
    <xf numFmtId="0" fontId="8" fillId="6" borderId="11" xfId="0" applyFont="1" applyFill="1" applyBorder="1" applyAlignment="1" applyProtection="1">
      <alignment horizontal="left"/>
      <protection locked="0"/>
    </xf>
    <xf numFmtId="0" fontId="8" fillId="6" borderId="8" xfId="0" applyFont="1" applyFill="1" applyBorder="1" applyAlignment="1" applyProtection="1">
      <alignment horizontal="left"/>
      <protection locked="0"/>
    </xf>
    <xf numFmtId="0" fontId="8" fillId="6" borderId="11" xfId="0" applyFont="1" applyFill="1" applyBorder="1" applyAlignment="1" applyProtection="1">
      <alignment horizontal="center"/>
      <protection locked="0"/>
    </xf>
    <xf numFmtId="0" fontId="8" fillId="6" borderId="8" xfId="0" applyFont="1" applyFill="1" applyBorder="1" applyAlignment="1" applyProtection="1">
      <alignment horizontal="center"/>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1" xfId="0" applyFont="1" applyBorder="1" applyAlignment="1">
      <alignment horizontal="left" vertical="center"/>
    </xf>
    <xf numFmtId="0" fontId="8" fillId="0" borderId="8" xfId="0" applyFont="1" applyBorder="1" applyAlignment="1">
      <alignment horizontal="left" vertical="center"/>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4" fontId="11" fillId="0" borderId="19" xfId="0" applyNumberFormat="1" applyFont="1" applyBorder="1" applyAlignment="1">
      <alignment horizontal="right" vertical="center"/>
    </xf>
    <xf numFmtId="4" fontId="11" fillId="0" borderId="21" xfId="0" applyNumberFormat="1" applyFont="1" applyBorder="1" applyAlignment="1">
      <alignment horizontal="right" vertical="center"/>
    </xf>
    <xf numFmtId="2" fontId="11" fillId="0" borderId="19" xfId="0" applyNumberFormat="1" applyFont="1" applyBorder="1" applyAlignment="1">
      <alignment horizontal="right" vertical="center"/>
    </xf>
    <xf numFmtId="2" fontId="11" fillId="0" borderId="21" xfId="0" applyNumberFormat="1" applyFont="1" applyBorder="1" applyAlignment="1">
      <alignment horizontal="right" vertical="center"/>
    </xf>
    <xf numFmtId="4" fontId="8" fillId="6" borderId="4" xfId="0" applyNumberFormat="1" applyFont="1" applyFill="1" applyBorder="1" applyAlignment="1" applyProtection="1">
      <alignment horizontal="right" vertical="center"/>
      <protection locked="0"/>
    </xf>
    <xf numFmtId="4" fontId="8" fillId="6" borderId="6" xfId="0" applyNumberFormat="1" applyFont="1" applyFill="1" applyBorder="1" applyAlignment="1" applyProtection="1">
      <alignment horizontal="right" vertical="center"/>
      <protection locked="0"/>
    </xf>
    <xf numFmtId="0" fontId="8" fillId="0" borderId="22" xfId="0" applyFont="1" applyBorder="1" applyAlignment="1">
      <alignment horizontal="left" vertical="center"/>
    </xf>
    <xf numFmtId="4" fontId="8" fillId="6" borderId="21" xfId="0" applyNumberFormat="1" applyFont="1" applyFill="1" applyBorder="1" applyAlignment="1" applyProtection="1">
      <alignment horizontal="right" vertical="center"/>
      <protection locked="0"/>
    </xf>
    <xf numFmtId="0" fontId="8" fillId="0" borderId="23" xfId="0" applyFont="1" applyBorder="1" applyAlignment="1">
      <alignment horizontal="left" vertical="center"/>
    </xf>
    <xf numFmtId="0" fontId="8" fillId="0" borderId="24" xfId="0" applyFont="1" applyBorder="1" applyAlignment="1">
      <alignment horizontal="left" vertical="center"/>
    </xf>
    <xf numFmtId="2" fontId="8" fillId="0" borderId="21" xfId="0" applyNumberFormat="1" applyFont="1" applyBorder="1" applyAlignment="1">
      <alignment horizontal="righ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11" fillId="0" borderId="5" xfId="0" applyFont="1" applyBorder="1" applyAlignment="1">
      <alignment horizontal="left" vertical="center"/>
    </xf>
    <xf numFmtId="0" fontId="11" fillId="0" borderId="26" xfId="0" applyFont="1" applyBorder="1" applyAlignment="1">
      <alignment horizontal="left" vertical="center" wrapText="1"/>
    </xf>
    <xf numFmtId="0" fontId="11" fillId="0" borderId="20" xfId="0" applyFont="1" applyBorder="1" applyAlignment="1">
      <alignment horizontal="left" vertical="center" wrapText="1"/>
    </xf>
    <xf numFmtId="0" fontId="11" fillId="0" borderId="27"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49" fontId="10" fillId="0" borderId="10" xfId="0" applyNumberFormat="1" applyFont="1" applyBorder="1" applyAlignment="1">
      <alignment horizontal="center"/>
    </xf>
    <xf numFmtId="49" fontId="10" fillId="0" borderId="0" xfId="0" applyNumberFormat="1" applyFont="1" applyAlignment="1">
      <alignment horizontal="center"/>
    </xf>
    <xf numFmtId="49" fontId="10" fillId="0" borderId="9" xfId="0" applyNumberFormat="1" applyFont="1" applyBorder="1" applyAlignment="1">
      <alignment horizontal="center"/>
    </xf>
    <xf numFmtId="0" fontId="41" fillId="0" borderId="0" xfId="0" applyFont="1" applyAlignment="1">
      <alignment horizontal="left" wrapText="1"/>
    </xf>
    <xf numFmtId="0" fontId="8" fillId="6" borderId="0" xfId="0" applyFont="1" applyFill="1" applyAlignment="1" applyProtection="1">
      <alignment horizontal="left"/>
      <protection locked="0"/>
    </xf>
    <xf numFmtId="0" fontId="11" fillId="0" borderId="4" xfId="0" applyFont="1" applyBorder="1" applyAlignment="1">
      <alignment horizontal="left" vertical="center"/>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4" fontId="11" fillId="0" borderId="4" xfId="0" applyNumberFormat="1" applyFont="1" applyBorder="1" applyAlignment="1">
      <alignment horizontal="right" vertical="center"/>
    </xf>
    <xf numFmtId="2" fontId="11" fillId="0" borderId="4" xfId="0" applyNumberFormat="1" applyFont="1" applyBorder="1" applyAlignment="1">
      <alignment horizontal="right" vertical="center"/>
    </xf>
    <xf numFmtId="165" fontId="5" fillId="0" borderId="4" xfId="0" applyNumberFormat="1" applyFont="1" applyBorder="1" applyAlignment="1">
      <alignment horizontal="center" vertical="center" wrapText="1"/>
    </xf>
    <xf numFmtId="165" fontId="5" fillId="0" borderId="6"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165" fontId="5" fillId="0" borderId="1" xfId="0" applyNumberFormat="1" applyFont="1" applyBorder="1" applyAlignment="1">
      <alignment horizontal="center" vertical="center" wrapText="1"/>
    </xf>
    <xf numFmtId="0" fontId="0" fillId="0" borderId="6" xfId="0" applyBorder="1" applyAlignment="1">
      <alignment horizontal="center" vertical="center" wrapText="1"/>
    </xf>
    <xf numFmtId="49" fontId="3" fillId="0" borderId="0" xfId="0" applyNumberFormat="1" applyFont="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6" xfId="0" applyFont="1" applyBorder="1" applyAlignment="1">
      <alignment horizontal="center" vertical="center" wrapText="1"/>
    </xf>
    <xf numFmtId="3" fontId="9" fillId="3" borderId="34" xfId="4" applyNumberFormat="1" applyFont="1" applyFill="1" applyBorder="1" applyAlignment="1">
      <alignment horizontal="center" vertical="center" wrapText="1"/>
    </xf>
    <xf numFmtId="3" fontId="9" fillId="3" borderId="33" xfId="4" applyNumberFormat="1" applyFont="1" applyFill="1" applyBorder="1" applyAlignment="1">
      <alignment horizontal="center" vertical="center" wrapText="1"/>
    </xf>
    <xf numFmtId="3" fontId="9" fillId="3" borderId="35" xfId="4" applyNumberFormat="1" applyFont="1" applyFill="1" applyBorder="1" applyAlignment="1">
      <alignment horizontal="center" vertical="center" wrapText="1"/>
    </xf>
    <xf numFmtId="1" fontId="23" fillId="3" borderId="2" xfId="4" applyNumberFormat="1" applyFont="1" applyFill="1" applyBorder="1" applyAlignment="1">
      <alignment horizontal="center"/>
    </xf>
    <xf numFmtId="1" fontId="23" fillId="3" borderId="3" xfId="4" applyNumberFormat="1" applyFont="1" applyFill="1" applyBorder="1" applyAlignment="1">
      <alignment horizontal="center"/>
    </xf>
    <xf numFmtId="1" fontId="23" fillId="3" borderId="42" xfId="4" applyNumberFormat="1" applyFont="1" applyFill="1" applyBorder="1" applyAlignment="1">
      <alignment horizontal="center"/>
    </xf>
    <xf numFmtId="1" fontId="23" fillId="3" borderId="43" xfId="4" applyNumberFormat="1" applyFont="1" applyFill="1" applyBorder="1" applyAlignment="1">
      <alignment horizontal="center"/>
    </xf>
    <xf numFmtId="0" fontId="9" fillId="3" borderId="28" xfId="4" applyFont="1" applyFill="1" applyBorder="1" applyAlignment="1">
      <alignment horizontal="center" vertical="center" wrapText="1"/>
    </xf>
    <xf numFmtId="0" fontId="9" fillId="3" borderId="30"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29" xfId="4" applyFont="1" applyFill="1" applyBorder="1" applyAlignment="1">
      <alignment horizontal="center" vertical="center" wrapText="1"/>
    </xf>
    <xf numFmtId="0" fontId="9" fillId="3" borderId="5" xfId="4" applyFont="1" applyFill="1" applyBorder="1" applyAlignment="1">
      <alignment horizontal="center" vertical="center" wrapText="1"/>
    </xf>
    <xf numFmtId="0" fontId="9" fillId="3" borderId="32" xfId="4" applyFont="1" applyFill="1" applyBorder="1" applyAlignment="1">
      <alignment horizontal="center" vertical="center" wrapText="1"/>
    </xf>
    <xf numFmtId="170" fontId="9" fillId="3" borderId="29" xfId="4" applyNumberFormat="1" applyFont="1" applyFill="1" applyBorder="1" applyAlignment="1">
      <alignment horizontal="center" vertical="center" wrapText="1"/>
    </xf>
    <xf numFmtId="170" fontId="9" fillId="3" borderId="5" xfId="4" applyNumberFormat="1" applyFont="1" applyFill="1" applyBorder="1" applyAlignment="1">
      <alignment horizontal="center" vertical="center" wrapText="1"/>
    </xf>
    <xf numFmtId="170" fontId="9" fillId="3" borderId="32" xfId="4" applyNumberFormat="1" applyFont="1" applyFill="1" applyBorder="1" applyAlignment="1">
      <alignment horizontal="center" vertical="center" wrapText="1"/>
    </xf>
  </cellXfs>
  <cellStyles count="6">
    <cellStyle name="Komma" xfId="3" builtinId="3"/>
    <cellStyle name="Prozent" xfId="2" builtinId="5"/>
    <cellStyle name="Standard" xfId="0" builtinId="0"/>
    <cellStyle name="Standard 2" xfId="5" xr:uid="{00000000-0005-0000-0000-000003000000}"/>
    <cellStyle name="Standard_Investitionen2003" xfId="4" xr:uid="{00000000-0005-0000-0000-000004000000}"/>
    <cellStyle name="Währung" xfId="1" builtinId="4"/>
  </cellStyles>
  <dxfs count="12">
    <dxf>
      <font>
        <color theme="8" tint="0.79998168889431442"/>
      </font>
    </dxf>
    <dxf>
      <font>
        <color theme="8" tint="0.79998168889431442"/>
      </font>
    </dxf>
    <dxf>
      <font>
        <color theme="0"/>
      </font>
    </dxf>
    <dxf>
      <font>
        <color theme="0"/>
      </font>
    </dxf>
    <dxf>
      <font>
        <color theme="8" tint="0.79998168889431442"/>
      </font>
    </dxf>
    <dxf>
      <font>
        <color theme="8" tint="0.79998168889431442"/>
      </font>
    </dxf>
    <dxf>
      <font>
        <color theme="0"/>
      </font>
    </dxf>
    <dxf>
      <font>
        <color theme="0"/>
      </font>
    </dxf>
    <dxf>
      <font>
        <color theme="0"/>
      </font>
    </dxf>
    <dxf>
      <font>
        <color theme="0"/>
      </font>
    </dxf>
    <dxf>
      <font>
        <color theme="8" tint="0.79998168889431442"/>
      </font>
    </dxf>
    <dxf>
      <font>
        <color theme="8" tint="0.79998168889431442"/>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134"/>
  <sheetViews>
    <sheetView showGridLines="0" tabSelected="1" zoomScale="115" zoomScaleNormal="115" workbookViewId="0">
      <selection activeCell="C4" sqref="C4:F4"/>
    </sheetView>
  </sheetViews>
  <sheetFormatPr baseColWidth="10" defaultColWidth="11.44140625" defaultRowHeight="13.8"/>
  <cols>
    <col min="1" max="1" width="6.109375" style="6" customWidth="1"/>
    <col min="2" max="2" width="24.5546875" style="5" customWidth="1"/>
    <col min="3" max="3" width="7.88671875" style="5" customWidth="1"/>
    <col min="4" max="4" width="10.33203125" style="5" customWidth="1"/>
    <col min="5" max="6" width="17.33203125" style="5" customWidth="1"/>
    <col min="7" max="7" width="5.33203125" style="5" customWidth="1"/>
    <col min="8" max="8" width="30" style="5" customWidth="1"/>
    <col min="9" max="16384" width="11.44140625" style="5"/>
  </cols>
  <sheetData>
    <row r="1" spans="1:6" ht="15.9" customHeight="1">
      <c r="A1" s="389" t="s">
        <v>263</v>
      </c>
      <c r="B1" s="390"/>
      <c r="C1" s="390"/>
      <c r="D1" s="390"/>
      <c r="E1" s="390"/>
      <c r="F1" s="391"/>
    </row>
    <row r="2" spans="1:6" ht="15.9" customHeight="1">
      <c r="A2" s="322" t="s">
        <v>11</v>
      </c>
      <c r="B2" s="322"/>
      <c r="C2" s="322"/>
      <c r="D2" s="322"/>
      <c r="E2" s="322"/>
      <c r="F2" s="323"/>
    </row>
    <row r="3" spans="1:6" ht="15.9" customHeight="1">
      <c r="A3" s="9" t="s">
        <v>32</v>
      </c>
      <c r="B3" s="10" t="s">
        <v>33</v>
      </c>
      <c r="C3" s="333"/>
      <c r="D3" s="334"/>
      <c r="E3" s="334"/>
      <c r="F3" s="335"/>
    </row>
    <row r="4" spans="1:6" ht="15.9" customHeight="1">
      <c r="A4" s="11"/>
      <c r="B4" s="12" t="s">
        <v>114</v>
      </c>
      <c r="C4" s="324"/>
      <c r="D4" s="325"/>
      <c r="E4" s="325"/>
      <c r="F4" s="326"/>
    </row>
    <row r="5" spans="1:6" ht="15.9" customHeight="1">
      <c r="A5" s="11"/>
      <c r="B5" s="12" t="s">
        <v>115</v>
      </c>
      <c r="C5" s="324"/>
      <c r="D5" s="325"/>
      <c r="E5" s="325"/>
      <c r="F5" s="326"/>
    </row>
    <row r="6" spans="1:6" ht="15.9" customHeight="1">
      <c r="A6" s="11"/>
      <c r="B6" s="13"/>
      <c r="C6" s="324"/>
      <c r="D6" s="325"/>
      <c r="E6" s="325"/>
      <c r="F6" s="326"/>
    </row>
    <row r="7" spans="1:6" ht="15.9" customHeight="1">
      <c r="A7" s="14"/>
      <c r="B7" s="15"/>
      <c r="C7" s="336"/>
      <c r="D7" s="337"/>
      <c r="E7" s="337"/>
      <c r="F7" s="338"/>
    </row>
    <row r="8" spans="1:6" ht="15.9" customHeight="1">
      <c r="A8" s="9" t="s">
        <v>34</v>
      </c>
      <c r="B8" s="16" t="s">
        <v>35</v>
      </c>
      <c r="C8" s="333"/>
      <c r="D8" s="334"/>
      <c r="E8" s="334"/>
      <c r="F8" s="335"/>
    </row>
    <row r="9" spans="1:6" ht="15.9" customHeight="1">
      <c r="A9" s="11"/>
      <c r="B9" s="17" t="s">
        <v>113</v>
      </c>
      <c r="C9" s="324"/>
      <c r="D9" s="325"/>
      <c r="E9" s="325"/>
      <c r="F9" s="326"/>
    </row>
    <row r="10" spans="1:6" ht="15.9" customHeight="1">
      <c r="A10" s="11"/>
      <c r="B10" s="17"/>
      <c r="C10" s="324"/>
      <c r="D10" s="325"/>
      <c r="E10" s="325"/>
      <c r="F10" s="326"/>
    </row>
    <row r="11" spans="1:6" ht="15.9" customHeight="1">
      <c r="A11" s="11"/>
      <c r="B11" s="17"/>
      <c r="C11" s="324"/>
      <c r="D11" s="325"/>
      <c r="E11" s="325"/>
      <c r="F11" s="326"/>
    </row>
    <row r="12" spans="1:6" ht="15.9" customHeight="1">
      <c r="A12" s="14"/>
      <c r="B12" s="15"/>
      <c r="C12" s="336"/>
      <c r="D12" s="337"/>
      <c r="E12" s="337"/>
      <c r="F12" s="338"/>
    </row>
    <row r="13" spans="1:6" ht="15.9" customHeight="1">
      <c r="A13" s="9" t="s">
        <v>36</v>
      </c>
      <c r="B13" s="18" t="s">
        <v>30</v>
      </c>
      <c r="C13" s="19"/>
      <c r="D13" s="9" t="s">
        <v>37</v>
      </c>
      <c r="E13" s="18" t="s">
        <v>28</v>
      </c>
      <c r="F13" s="20"/>
    </row>
    <row r="14" spans="1:6" ht="15.9" customHeight="1">
      <c r="A14" s="14"/>
      <c r="B14" s="339"/>
      <c r="C14" s="340"/>
      <c r="D14" s="14"/>
      <c r="E14" s="339"/>
      <c r="F14" s="340"/>
    </row>
    <row r="15" spans="1:6" ht="15.9" customHeight="1">
      <c r="A15" s="9" t="s">
        <v>38</v>
      </c>
      <c r="B15" s="21" t="s">
        <v>116</v>
      </c>
      <c r="C15" s="20"/>
      <c r="D15" s="9" t="s">
        <v>39</v>
      </c>
      <c r="E15" s="18" t="s">
        <v>117</v>
      </c>
      <c r="F15" s="20"/>
    </row>
    <row r="16" spans="1:6" ht="27" customHeight="1">
      <c r="A16" s="14"/>
      <c r="B16" s="341"/>
      <c r="C16" s="342"/>
      <c r="D16" s="14"/>
      <c r="E16" s="341"/>
      <c r="F16" s="342"/>
    </row>
    <row r="17" spans="1:8" ht="15.9" customHeight="1">
      <c r="A17" s="9" t="s">
        <v>40</v>
      </c>
      <c r="B17" s="18" t="s">
        <v>12</v>
      </c>
      <c r="C17" s="20"/>
      <c r="D17" s="9" t="s">
        <v>41</v>
      </c>
      <c r="E17" s="18" t="s">
        <v>42</v>
      </c>
      <c r="F17" s="20"/>
    </row>
    <row r="18" spans="1:8" ht="15.9" customHeight="1">
      <c r="A18" s="14"/>
      <c r="B18" s="345"/>
      <c r="C18" s="346"/>
      <c r="D18" s="14"/>
      <c r="E18" s="258"/>
      <c r="F18" s="22"/>
    </row>
    <row r="19" spans="1:8" ht="15.9" customHeight="1">
      <c r="A19" s="9" t="s">
        <v>43</v>
      </c>
      <c r="B19" s="18" t="s">
        <v>29</v>
      </c>
      <c r="C19" s="20"/>
      <c r="D19" s="9" t="s">
        <v>44</v>
      </c>
      <c r="E19" s="18" t="s">
        <v>118</v>
      </c>
      <c r="F19" s="20"/>
    </row>
    <row r="20" spans="1:8" ht="15.9" customHeight="1">
      <c r="A20" s="14"/>
      <c r="B20" s="347"/>
      <c r="C20" s="348"/>
      <c r="D20" s="14"/>
      <c r="E20" s="259"/>
      <c r="F20" s="15"/>
    </row>
    <row r="21" spans="1:8" ht="15.9" customHeight="1">
      <c r="A21" s="9"/>
      <c r="B21" s="18" t="s">
        <v>256</v>
      </c>
      <c r="C21" s="20"/>
      <c r="D21" s="9" t="s">
        <v>45</v>
      </c>
      <c r="E21" s="18" t="s">
        <v>46</v>
      </c>
      <c r="F21" s="20"/>
      <c r="H21" s="305" t="s">
        <v>257</v>
      </c>
    </row>
    <row r="22" spans="1:8" ht="15.9" customHeight="1">
      <c r="A22" s="14"/>
      <c r="B22" s="339" t="s">
        <v>258</v>
      </c>
      <c r="C22" s="340"/>
      <c r="D22" s="14"/>
      <c r="E22" s="227">
        <f>B20*E18*E20</f>
        <v>0</v>
      </c>
      <c r="F22" s="15"/>
      <c r="H22" s="305" t="s">
        <v>258</v>
      </c>
    </row>
    <row r="23" spans="1:8" ht="15.9" customHeight="1">
      <c r="A23" s="257" t="s">
        <v>269</v>
      </c>
      <c r="B23" s="24"/>
      <c r="C23" s="24"/>
      <c r="D23" s="24"/>
      <c r="E23" s="24"/>
      <c r="F23" s="24"/>
    </row>
    <row r="24" spans="1:8" ht="15.9" customHeight="1" thickBot="1">
      <c r="A24" s="23"/>
      <c r="B24" s="24"/>
      <c r="C24" s="24"/>
      <c r="D24" s="24"/>
      <c r="E24" s="24"/>
      <c r="F24" s="24"/>
    </row>
    <row r="25" spans="1:8" ht="15.9" customHeight="1" thickTop="1">
      <c r="A25" s="25"/>
      <c r="B25" s="26"/>
      <c r="C25" s="27"/>
      <c r="D25" s="28"/>
      <c r="E25" s="29" t="s">
        <v>47</v>
      </c>
      <c r="F25" s="30" t="s">
        <v>48</v>
      </c>
    </row>
    <row r="26" spans="1:8" ht="15.9" customHeight="1">
      <c r="A26" s="31"/>
      <c r="B26" s="32" t="s">
        <v>13</v>
      </c>
      <c r="C26" s="21"/>
      <c r="D26" s="20"/>
      <c r="E26" s="21" t="s">
        <v>49</v>
      </c>
      <c r="F26" s="33" t="s">
        <v>50</v>
      </c>
    </row>
    <row r="27" spans="1:8" ht="15.9" customHeight="1">
      <c r="A27" s="14"/>
      <c r="B27" s="34"/>
      <c r="C27" s="35"/>
      <c r="D27" s="15"/>
      <c r="E27" s="34" t="s">
        <v>51</v>
      </c>
      <c r="F27" s="36" t="s">
        <v>52</v>
      </c>
    </row>
    <row r="28" spans="1:8" ht="15.9" customHeight="1">
      <c r="A28" s="37"/>
      <c r="B28" s="19"/>
      <c r="C28" s="38"/>
      <c r="D28" s="38"/>
      <c r="E28" s="39"/>
      <c r="F28" s="40"/>
    </row>
    <row r="29" spans="1:8" ht="15.9" customHeight="1">
      <c r="A29" s="41"/>
      <c r="B29" s="42" t="s">
        <v>14</v>
      </c>
      <c r="C29" s="42"/>
      <c r="D29" s="42"/>
      <c r="E29" s="42"/>
      <c r="F29" s="43"/>
    </row>
    <row r="30" spans="1:8" ht="15.9" customHeight="1">
      <c r="A30" s="329" t="s">
        <v>53</v>
      </c>
      <c r="B30" s="329" t="s">
        <v>0</v>
      </c>
      <c r="C30" s="349"/>
      <c r="D30" s="350"/>
      <c r="E30" s="331">
        <f>'PK Zusammenfassung'!H8</f>
        <v>0</v>
      </c>
      <c r="F30" s="343" t="str">
        <f>IF($E$22=0,"",ROUND(E30/$E$22,1))</f>
        <v/>
      </c>
    </row>
    <row r="31" spans="1:8" ht="15.9" customHeight="1">
      <c r="A31" s="330"/>
      <c r="B31" s="330"/>
      <c r="C31" s="351"/>
      <c r="D31" s="352"/>
      <c r="E31" s="332"/>
      <c r="F31" s="344"/>
    </row>
    <row r="32" spans="1:8" ht="15.9" customHeight="1">
      <c r="A32" s="329" t="s">
        <v>54</v>
      </c>
      <c r="B32" s="329" t="s">
        <v>1</v>
      </c>
      <c r="C32" s="349"/>
      <c r="D32" s="350"/>
      <c r="E32" s="331">
        <f>'PK Zusammenfassung'!H19</f>
        <v>0</v>
      </c>
      <c r="F32" s="343" t="str">
        <f>IF($E$22=0,"",ROUND(E32/$E$22,1))</f>
        <v/>
      </c>
    </row>
    <row r="33" spans="1:10" ht="15.9" customHeight="1">
      <c r="A33" s="330"/>
      <c r="B33" s="330"/>
      <c r="C33" s="351"/>
      <c r="D33" s="352"/>
      <c r="E33" s="332"/>
      <c r="F33" s="344"/>
    </row>
    <row r="34" spans="1:10" ht="15.9" customHeight="1">
      <c r="A34" s="329" t="s">
        <v>55</v>
      </c>
      <c r="B34" s="329" t="s">
        <v>2</v>
      </c>
      <c r="C34" s="349"/>
      <c r="D34" s="350"/>
      <c r="E34" s="331">
        <f>'PK Zusammenfassung'!H28</f>
        <v>0</v>
      </c>
      <c r="F34" s="343" t="str">
        <f>IF($E$22=0,"",ROUND(E34/$E$22,1))</f>
        <v/>
      </c>
      <c r="G34" s="7"/>
    </row>
    <row r="35" spans="1:10" ht="15.9" customHeight="1">
      <c r="A35" s="330"/>
      <c r="B35" s="330"/>
      <c r="C35" s="351"/>
      <c r="D35" s="352"/>
      <c r="E35" s="332"/>
      <c r="F35" s="344"/>
      <c r="G35" s="7"/>
    </row>
    <row r="36" spans="1:10" ht="15.9" customHeight="1">
      <c r="A36" s="329" t="s">
        <v>56</v>
      </c>
      <c r="B36" s="329" t="s">
        <v>3</v>
      </c>
      <c r="C36" s="349"/>
      <c r="D36" s="350"/>
      <c r="E36" s="331">
        <f>'PK Zusammenfassung'!H33</f>
        <v>0</v>
      </c>
      <c r="F36" s="343" t="str">
        <f>IF($E$22=0,"",ROUND(E36/$E$22,1))</f>
        <v/>
      </c>
      <c r="G36" s="7"/>
    </row>
    <row r="37" spans="1:10" ht="15.9" customHeight="1">
      <c r="A37" s="330"/>
      <c r="B37" s="330"/>
      <c r="C37" s="351"/>
      <c r="D37" s="352"/>
      <c r="E37" s="332"/>
      <c r="F37" s="344"/>
    </row>
    <row r="38" spans="1:10" ht="15.9" customHeight="1">
      <c r="A38" s="329" t="s">
        <v>57</v>
      </c>
      <c r="B38" s="329" t="s">
        <v>4</v>
      </c>
      <c r="C38" s="349"/>
      <c r="D38" s="350"/>
      <c r="E38" s="331">
        <f>'PK Zusammenfassung'!H40</f>
        <v>0</v>
      </c>
      <c r="F38" s="343" t="str">
        <f>IF($E$22=0,"",ROUND(E38/$E$22,1))</f>
        <v/>
      </c>
    </row>
    <row r="39" spans="1:10" ht="15.9" customHeight="1">
      <c r="A39" s="330"/>
      <c r="B39" s="330"/>
      <c r="C39" s="351"/>
      <c r="D39" s="352"/>
      <c r="E39" s="332"/>
      <c r="F39" s="344"/>
    </row>
    <row r="40" spans="1:10" ht="15.9" customHeight="1">
      <c r="A40" s="329" t="s">
        <v>58</v>
      </c>
      <c r="B40" s="329" t="s">
        <v>5</v>
      </c>
      <c r="C40" s="349"/>
      <c r="D40" s="350"/>
      <c r="E40" s="331">
        <f>'PK Zusammenfassung'!H47</f>
        <v>0</v>
      </c>
      <c r="F40" s="343" t="str">
        <f>IF($E$22=0,"",ROUND(E40/$E$22,1))</f>
        <v/>
      </c>
    </row>
    <row r="41" spans="1:10" ht="15.9" customHeight="1">
      <c r="A41" s="330"/>
      <c r="B41" s="330"/>
      <c r="C41" s="351"/>
      <c r="D41" s="352"/>
      <c r="E41" s="332"/>
      <c r="F41" s="344"/>
    </row>
    <row r="42" spans="1:10" ht="15.9" customHeight="1">
      <c r="A42" s="329" t="s">
        <v>59</v>
      </c>
      <c r="B42" s="329" t="s">
        <v>6</v>
      </c>
      <c r="C42" s="349"/>
      <c r="D42" s="350"/>
      <c r="E42" s="365"/>
      <c r="F42" s="343" t="str">
        <f>IF($E$22=0,"",ROUND(E42/$E$22,1))</f>
        <v/>
      </c>
      <c r="H42" s="327" t="s">
        <v>182</v>
      </c>
      <c r="I42" s="328">
        <f>'PK Zusammenfassung'!O11</f>
        <v>0</v>
      </c>
      <c r="J42" s="302" t="str">
        <f>IF(E42&lt;I42,"FEHLER: Personalnebenkosten müssen i.d.R. höher als die Ausgaben für die BGW sein!","")</f>
        <v/>
      </c>
    </row>
    <row r="43" spans="1:10" ht="15.9" customHeight="1" thickBot="1">
      <c r="A43" s="367"/>
      <c r="B43" s="367"/>
      <c r="C43" s="369"/>
      <c r="D43" s="370"/>
      <c r="E43" s="368"/>
      <c r="F43" s="371"/>
      <c r="H43" s="327"/>
      <c r="I43" s="328"/>
      <c r="J43" s="302" t="str">
        <f>IF(I42=0,"FEHLER: BWG-Beitrag in Tabellenblatt PK Zusammenfassung Zelle N8 eintragen!","")</f>
        <v>FEHLER: BWG-Beitrag in Tabellenblatt PK Zusammenfassung Zelle N8 eintragen!</v>
      </c>
    </row>
    <row r="44" spans="1:10" ht="15.9" customHeight="1" thickTop="1">
      <c r="A44" s="353" t="s">
        <v>60</v>
      </c>
      <c r="B44" s="355" t="s">
        <v>161</v>
      </c>
      <c r="C44" s="356"/>
      <c r="D44" s="357"/>
      <c r="E44" s="361">
        <f>SUM(E30:E43)</f>
        <v>0</v>
      </c>
      <c r="F44" s="363" t="str">
        <f>IF($E$22=0,"",ROUND(E44/$E$22,1))</f>
        <v/>
      </c>
    </row>
    <row r="45" spans="1:10" ht="15.9" customHeight="1" thickBot="1">
      <c r="A45" s="354"/>
      <c r="B45" s="358" t="s">
        <v>61</v>
      </c>
      <c r="C45" s="359"/>
      <c r="D45" s="360"/>
      <c r="E45" s="362"/>
      <c r="F45" s="364"/>
    </row>
    <row r="46" spans="1:10" ht="15.9" customHeight="1" thickTop="1">
      <c r="A46" s="44"/>
      <c r="B46" s="45"/>
      <c r="C46" s="45"/>
      <c r="D46" s="45"/>
      <c r="E46" s="45"/>
      <c r="F46" s="45"/>
    </row>
    <row r="47" spans="1:10" ht="15.9" customHeight="1">
      <c r="A47" s="46"/>
      <c r="B47" s="19"/>
      <c r="C47" s="19"/>
      <c r="D47" s="19"/>
      <c r="E47" s="19"/>
      <c r="F47" s="19"/>
    </row>
    <row r="48" spans="1:10" ht="15.9" customHeight="1">
      <c r="A48" s="46"/>
      <c r="B48" s="19"/>
      <c r="C48" s="19"/>
      <c r="D48" s="19"/>
      <c r="E48" s="19"/>
      <c r="F48" s="19"/>
    </row>
    <row r="49" spans="1:6" ht="15.9" customHeight="1">
      <c r="A49" s="47"/>
      <c r="B49" s="32" t="s">
        <v>13</v>
      </c>
      <c r="C49" s="21"/>
      <c r="D49" s="20"/>
      <c r="E49" s="33" t="s">
        <v>62</v>
      </c>
      <c r="F49" s="33" t="s">
        <v>50</v>
      </c>
    </row>
    <row r="50" spans="1:6" ht="15.9" customHeight="1">
      <c r="A50" s="14"/>
      <c r="B50" s="34"/>
      <c r="C50" s="35"/>
      <c r="D50" s="15"/>
      <c r="E50" s="34" t="s">
        <v>63</v>
      </c>
      <c r="F50" s="36" t="s">
        <v>52</v>
      </c>
    </row>
    <row r="51" spans="1:6" ht="15.9" customHeight="1">
      <c r="A51" s="37"/>
      <c r="B51" s="19"/>
      <c r="C51" s="38"/>
      <c r="D51" s="38"/>
      <c r="E51" s="48"/>
      <c r="F51" s="40"/>
    </row>
    <row r="52" spans="1:6" ht="15.9" customHeight="1">
      <c r="A52" s="41"/>
      <c r="B52" s="39" t="s">
        <v>16</v>
      </c>
      <c r="C52" s="42"/>
      <c r="D52" s="42"/>
      <c r="E52" s="49"/>
      <c r="F52" s="43"/>
    </row>
    <row r="53" spans="1:6" ht="15.9" customHeight="1">
      <c r="A53" s="329" t="s">
        <v>64</v>
      </c>
      <c r="B53" s="329" t="s">
        <v>17</v>
      </c>
      <c r="C53" s="349"/>
      <c r="D53" s="350"/>
      <c r="E53" s="365"/>
      <c r="F53" s="343" t="str">
        <f>IF($E$22=0,"",ROUND(E53/$E$22,1))</f>
        <v/>
      </c>
    </row>
    <row r="54" spans="1:6" ht="15.9" customHeight="1">
      <c r="A54" s="330"/>
      <c r="B54" s="330"/>
      <c r="C54" s="351"/>
      <c r="D54" s="352"/>
      <c r="E54" s="366"/>
      <c r="F54" s="344"/>
    </row>
    <row r="55" spans="1:6" ht="15.9" customHeight="1">
      <c r="A55" s="329" t="s">
        <v>65</v>
      </c>
      <c r="B55" s="329" t="s">
        <v>264</v>
      </c>
      <c r="C55" s="349"/>
      <c r="D55" s="350"/>
      <c r="E55" s="365"/>
      <c r="F55" s="343" t="str">
        <f>IF($E$22=0,"",ROUND(E55/$E$22,1))</f>
        <v/>
      </c>
    </row>
    <row r="56" spans="1:6" ht="15.9" customHeight="1">
      <c r="A56" s="330"/>
      <c r="B56" s="330"/>
      <c r="C56" s="351"/>
      <c r="D56" s="352"/>
      <c r="E56" s="366"/>
      <c r="F56" s="344"/>
    </row>
    <row r="57" spans="1:6" ht="15.9" customHeight="1">
      <c r="A57" s="329" t="s">
        <v>66</v>
      </c>
      <c r="B57" s="329" t="s">
        <v>18</v>
      </c>
      <c r="C57" s="349"/>
      <c r="D57" s="350"/>
      <c r="E57" s="365"/>
      <c r="F57" s="343" t="str">
        <f>IF($E$22=0,"",ROUND(E57/$E$22,1))</f>
        <v/>
      </c>
    </row>
    <row r="58" spans="1:6" ht="15.9" customHeight="1">
      <c r="A58" s="330"/>
      <c r="B58" s="330"/>
      <c r="C58" s="351"/>
      <c r="D58" s="352"/>
      <c r="E58" s="366"/>
      <c r="F58" s="344"/>
    </row>
    <row r="59" spans="1:6" ht="15.9" customHeight="1">
      <c r="A59" s="329" t="s">
        <v>67</v>
      </c>
      <c r="B59" s="329" t="s">
        <v>19</v>
      </c>
      <c r="C59" s="349"/>
      <c r="D59" s="350"/>
      <c r="E59" s="365"/>
      <c r="F59" s="343" t="str">
        <f>IF($E$22=0,"",ROUND(E59/$E$22,1))</f>
        <v/>
      </c>
    </row>
    <row r="60" spans="1:6" ht="15.9" customHeight="1">
      <c r="A60" s="330"/>
      <c r="B60" s="330"/>
      <c r="C60" s="351"/>
      <c r="D60" s="352"/>
      <c r="E60" s="366"/>
      <c r="F60" s="344"/>
    </row>
    <row r="61" spans="1:6" ht="15.9" customHeight="1">
      <c r="A61" s="329" t="s">
        <v>68</v>
      </c>
      <c r="B61" s="329" t="s">
        <v>162</v>
      </c>
      <c r="C61" s="349"/>
      <c r="D61" s="350"/>
      <c r="E61" s="365"/>
      <c r="F61" s="343" t="str">
        <f>IF($E$22=0,"",ROUND(E61/$E$22,1))</f>
        <v/>
      </c>
    </row>
    <row r="62" spans="1:6" ht="15.9" customHeight="1">
      <c r="A62" s="330"/>
      <c r="B62" s="330" t="s">
        <v>69</v>
      </c>
      <c r="C62" s="351"/>
      <c r="D62" s="352"/>
      <c r="E62" s="366"/>
      <c r="F62" s="344"/>
    </row>
    <row r="63" spans="1:6" ht="15.9" customHeight="1">
      <c r="A63" s="329" t="s">
        <v>70</v>
      </c>
      <c r="B63" s="329" t="s">
        <v>20</v>
      </c>
      <c r="C63" s="349"/>
      <c r="D63" s="350"/>
      <c r="E63" s="365"/>
      <c r="F63" s="343" t="str">
        <f>IF($E$22=0,"",ROUND(E63/$E$22,1))</f>
        <v/>
      </c>
    </row>
    <row r="64" spans="1:6" ht="15.9" customHeight="1" thickBot="1">
      <c r="A64" s="367"/>
      <c r="B64" s="367"/>
      <c r="C64" s="369"/>
      <c r="D64" s="370"/>
      <c r="E64" s="368"/>
      <c r="F64" s="371"/>
    </row>
    <row r="65" spans="1:6" ht="15.9" customHeight="1" thickTop="1">
      <c r="A65" s="372" t="s">
        <v>71</v>
      </c>
      <c r="B65" s="355" t="s">
        <v>119</v>
      </c>
      <c r="C65" s="356"/>
      <c r="D65" s="357"/>
      <c r="E65" s="361">
        <f>SUM(E53:E64)</f>
        <v>0</v>
      </c>
      <c r="F65" s="363" t="str">
        <f>IF($E$22=0,"",ROUND(E65/$E$22,1))</f>
        <v/>
      </c>
    </row>
    <row r="66" spans="1:6" ht="15.9" customHeight="1" thickBot="1">
      <c r="A66" s="373"/>
      <c r="B66" s="358" t="s">
        <v>72</v>
      </c>
      <c r="C66" s="359"/>
      <c r="D66" s="360"/>
      <c r="E66" s="362"/>
      <c r="F66" s="364"/>
    </row>
    <row r="67" spans="1:6" ht="15.9" customHeight="1" thickTop="1">
      <c r="A67" s="54"/>
      <c r="B67" s="19"/>
      <c r="C67" s="38"/>
      <c r="D67" s="38"/>
      <c r="E67" s="39"/>
      <c r="F67" s="40"/>
    </row>
    <row r="68" spans="1:6" ht="15.9" customHeight="1">
      <c r="A68" s="41"/>
      <c r="B68" s="39" t="s">
        <v>21</v>
      </c>
      <c r="C68" s="42"/>
      <c r="D68" s="42"/>
      <c r="E68" s="42"/>
      <c r="F68" s="43"/>
    </row>
    <row r="69" spans="1:6" ht="15.9" customHeight="1">
      <c r="A69" s="329" t="s">
        <v>73</v>
      </c>
      <c r="B69" s="329" t="s">
        <v>22</v>
      </c>
      <c r="C69" s="349"/>
      <c r="D69" s="350"/>
      <c r="E69" s="365"/>
      <c r="F69" s="343" t="str">
        <f>IF($E$22=0,"",ROUND(E69/$E$22,1))</f>
        <v/>
      </c>
    </row>
    <row r="70" spans="1:6" ht="15.9" customHeight="1">
      <c r="A70" s="330"/>
      <c r="B70" s="330"/>
      <c r="C70" s="351"/>
      <c r="D70" s="352"/>
      <c r="E70" s="366"/>
      <c r="F70" s="344"/>
    </row>
    <row r="71" spans="1:6" ht="15.9" customHeight="1">
      <c r="A71" s="329" t="s">
        <v>74</v>
      </c>
      <c r="B71" s="329" t="s">
        <v>75</v>
      </c>
      <c r="C71" s="349"/>
      <c r="D71" s="350"/>
      <c r="E71" s="365"/>
      <c r="F71" s="343" t="str">
        <f>IF($E$22=0,"",ROUND(E71/$E$22,1))</f>
        <v/>
      </c>
    </row>
    <row r="72" spans="1:6" ht="15.9" customHeight="1">
      <c r="A72" s="330"/>
      <c r="B72" s="330"/>
      <c r="C72" s="351"/>
      <c r="D72" s="352"/>
      <c r="E72" s="366"/>
      <c r="F72" s="344"/>
    </row>
    <row r="73" spans="1:6" ht="15.9" customHeight="1">
      <c r="A73" s="329" t="s">
        <v>76</v>
      </c>
      <c r="B73" s="380" t="s">
        <v>163</v>
      </c>
      <c r="C73" s="381"/>
      <c r="D73" s="382"/>
      <c r="E73" s="365"/>
      <c r="F73" s="343" t="str">
        <f>IF($E$22=0,"",ROUND(E73/$E$22,1))</f>
        <v/>
      </c>
    </row>
    <row r="74" spans="1:6" ht="15.9" customHeight="1">
      <c r="A74" s="330"/>
      <c r="B74" s="383" t="s">
        <v>77</v>
      </c>
      <c r="C74" s="384"/>
      <c r="D74" s="385"/>
      <c r="E74" s="366"/>
      <c r="F74" s="344"/>
    </row>
    <row r="75" spans="1:6" ht="15.9" customHeight="1">
      <c r="A75" s="329" t="s">
        <v>78</v>
      </c>
      <c r="B75" s="329" t="s">
        <v>23</v>
      </c>
      <c r="C75" s="349"/>
      <c r="D75" s="350"/>
      <c r="E75" s="365"/>
      <c r="F75" s="343" t="str">
        <f>IF($E$22=0,"",ROUND(E75/$E$22,1))</f>
        <v/>
      </c>
    </row>
    <row r="76" spans="1:6" ht="15.9" customHeight="1">
      <c r="A76" s="330"/>
      <c r="B76" s="330"/>
      <c r="C76" s="351"/>
      <c r="D76" s="352"/>
      <c r="E76" s="366"/>
      <c r="F76" s="344"/>
    </row>
    <row r="77" spans="1:6" ht="15.9" customHeight="1">
      <c r="A77" s="374" t="s">
        <v>79</v>
      </c>
      <c r="B77" s="329" t="s">
        <v>80</v>
      </c>
      <c r="C77" s="349"/>
      <c r="D77" s="350"/>
      <c r="E77" s="365"/>
      <c r="F77" s="343" t="str">
        <f>IF($E$22=0,"",ROUND(E77/$E$22,1))</f>
        <v/>
      </c>
    </row>
    <row r="78" spans="1:6" ht="15.9" customHeight="1" thickBot="1">
      <c r="A78" s="375"/>
      <c r="B78" s="367"/>
      <c r="C78" s="369"/>
      <c r="D78" s="370"/>
      <c r="E78" s="368"/>
      <c r="F78" s="371"/>
    </row>
    <row r="79" spans="1:6" ht="15.9" customHeight="1" thickTop="1">
      <c r="A79" s="376" t="s">
        <v>81</v>
      </c>
      <c r="B79" s="377" t="s">
        <v>164</v>
      </c>
      <c r="C79" s="378"/>
      <c r="D79" s="379"/>
      <c r="E79" s="361">
        <f>SUM(E69:E78)</f>
        <v>0</v>
      </c>
      <c r="F79" s="363" t="str">
        <f>IF($E$22=0,"",ROUND(E79/$E$22,1))</f>
        <v/>
      </c>
    </row>
    <row r="80" spans="1:6" ht="15.9" customHeight="1" thickBot="1">
      <c r="A80" s="373"/>
      <c r="B80" s="358" t="s">
        <v>82</v>
      </c>
      <c r="C80" s="359"/>
      <c r="D80" s="360"/>
      <c r="E80" s="362"/>
      <c r="F80" s="364"/>
    </row>
    <row r="81" spans="1:6" ht="15.9" customHeight="1" thickTop="1">
      <c r="A81" s="376" t="s">
        <v>83</v>
      </c>
      <c r="B81" s="355" t="s">
        <v>120</v>
      </c>
      <c r="C81" s="356"/>
      <c r="D81" s="357"/>
      <c r="E81" s="361">
        <f>E65-E79</f>
        <v>0</v>
      </c>
      <c r="F81" s="363" t="str">
        <f>IF($E$22=0,"",ROUND(E81/$E$22,1))</f>
        <v/>
      </c>
    </row>
    <row r="82" spans="1:6" ht="15.9" customHeight="1" thickBot="1">
      <c r="A82" s="373"/>
      <c r="B82" s="358" t="s">
        <v>84</v>
      </c>
      <c r="C82" s="359"/>
      <c r="D82" s="360"/>
      <c r="E82" s="362"/>
      <c r="F82" s="364"/>
    </row>
    <row r="83" spans="1:6" ht="15.9" customHeight="1" thickTop="1">
      <c r="A83" s="376" t="s">
        <v>85</v>
      </c>
      <c r="B83" s="355" t="s">
        <v>165</v>
      </c>
      <c r="C83" s="356"/>
      <c r="D83" s="357"/>
      <c r="E83" s="361">
        <f>E81+E44</f>
        <v>0</v>
      </c>
      <c r="F83" s="363" t="str">
        <f>IF($E$22=0,"",ROUND(E83/$E$22,1))</f>
        <v/>
      </c>
    </row>
    <row r="84" spans="1:6" ht="15.9" customHeight="1" thickBot="1">
      <c r="A84" s="373"/>
      <c r="B84" s="358" t="s">
        <v>86</v>
      </c>
      <c r="C84" s="359"/>
      <c r="D84" s="360"/>
      <c r="E84" s="362"/>
      <c r="F84" s="364"/>
    </row>
    <row r="85" spans="1:6" ht="15.9" customHeight="1" thickTop="1">
      <c r="A85" s="50"/>
      <c r="B85" s="39"/>
      <c r="C85" s="39"/>
      <c r="D85" s="19"/>
      <c r="E85" s="51"/>
      <c r="F85" s="19"/>
    </row>
    <row r="86" spans="1:6" ht="15.9" customHeight="1">
      <c r="A86" s="50"/>
      <c r="B86" s="39"/>
      <c r="C86" s="39"/>
      <c r="D86" s="19"/>
      <c r="E86" s="51"/>
      <c r="F86" s="19"/>
    </row>
    <row r="87" spans="1:6" ht="15.9" customHeight="1">
      <c r="A87" s="50"/>
      <c r="B87" s="39"/>
      <c r="C87" s="39"/>
      <c r="D87" s="19"/>
      <c r="E87" s="51"/>
      <c r="F87" s="19"/>
    </row>
    <row r="88" spans="1:6" ht="15.9" customHeight="1">
      <c r="A88" s="52"/>
      <c r="B88" s="42"/>
      <c r="C88" s="42"/>
      <c r="D88" s="35"/>
      <c r="E88" s="35"/>
      <c r="F88" s="35"/>
    </row>
    <row r="89" spans="1:6" ht="15.9" customHeight="1">
      <c r="A89" s="47"/>
      <c r="B89" s="32" t="s">
        <v>13</v>
      </c>
      <c r="C89" s="21"/>
      <c r="D89" s="20"/>
      <c r="E89" s="33" t="s">
        <v>62</v>
      </c>
      <c r="F89" s="33" t="s">
        <v>50</v>
      </c>
    </row>
    <row r="90" spans="1:6" ht="15.9" customHeight="1">
      <c r="A90" s="53"/>
      <c r="B90" s="34"/>
      <c r="C90" s="35"/>
      <c r="D90" s="15"/>
      <c r="E90" s="36" t="s">
        <v>63</v>
      </c>
      <c r="F90" s="36" t="s">
        <v>52</v>
      </c>
    </row>
    <row r="91" spans="1:6" ht="15.9" customHeight="1">
      <c r="A91" s="37"/>
      <c r="B91" s="19"/>
      <c r="C91" s="38"/>
      <c r="D91" s="38"/>
      <c r="E91" s="39"/>
      <c r="F91" s="40"/>
    </row>
    <row r="92" spans="1:6" ht="15.9" customHeight="1">
      <c r="A92" s="41"/>
      <c r="B92" s="39" t="s">
        <v>87</v>
      </c>
      <c r="C92" s="42"/>
      <c r="D92" s="42"/>
      <c r="E92" s="42"/>
      <c r="F92" s="43"/>
    </row>
    <row r="93" spans="1:6" ht="15.9" customHeight="1">
      <c r="A93" s="329" t="s">
        <v>88</v>
      </c>
      <c r="B93" s="380" t="s">
        <v>227</v>
      </c>
      <c r="C93" s="381"/>
      <c r="D93" s="382"/>
      <c r="E93" s="365"/>
      <c r="F93" s="343" t="str">
        <f>IF($E$22=0,"",ROUND(E93/$E$22,1))</f>
        <v/>
      </c>
    </row>
    <row r="94" spans="1:6" ht="15.9" customHeight="1">
      <c r="A94" s="330"/>
      <c r="B94" s="383" t="s">
        <v>89</v>
      </c>
      <c r="C94" s="384"/>
      <c r="D94" s="385"/>
      <c r="E94" s="366"/>
      <c r="F94" s="344"/>
    </row>
    <row r="95" spans="1:6" ht="15.9" customHeight="1">
      <c r="A95" s="329" t="s">
        <v>90</v>
      </c>
      <c r="B95" s="329" t="s">
        <v>166</v>
      </c>
      <c r="C95" s="349"/>
      <c r="D95" s="350"/>
      <c r="E95" s="365"/>
      <c r="F95" s="343" t="str">
        <f>IF($E$22=0,"",ROUND(E95/$E$22,1))</f>
        <v/>
      </c>
    </row>
    <row r="96" spans="1:6" ht="15.9" customHeight="1">
      <c r="A96" s="330"/>
      <c r="B96" s="330"/>
      <c r="C96" s="351"/>
      <c r="D96" s="352"/>
      <c r="E96" s="366"/>
      <c r="F96" s="344"/>
    </row>
    <row r="97" spans="1:6" ht="15.9" customHeight="1">
      <c r="A97" s="329" t="s">
        <v>91</v>
      </c>
      <c r="B97" s="329" t="s">
        <v>92</v>
      </c>
      <c r="C97" s="349"/>
      <c r="D97" s="350"/>
      <c r="E97" s="365"/>
      <c r="F97" s="343" t="str">
        <f>IF($E$22=0,"",ROUND(E97/$E$22,1))</f>
        <v/>
      </c>
    </row>
    <row r="98" spans="1:6" ht="15.9" customHeight="1">
      <c r="A98" s="330"/>
      <c r="B98" s="330"/>
      <c r="C98" s="351"/>
      <c r="D98" s="352"/>
      <c r="E98" s="366"/>
      <c r="F98" s="344"/>
    </row>
    <row r="99" spans="1:6" ht="15.9" customHeight="1">
      <c r="A99" s="329" t="s">
        <v>93</v>
      </c>
      <c r="B99" s="329" t="s">
        <v>24</v>
      </c>
      <c r="C99" s="349"/>
      <c r="D99" s="350"/>
      <c r="E99" s="365"/>
      <c r="F99" s="343" t="str">
        <f>IF($E$22=0,"",ROUND(E99/$E$22,1))</f>
        <v/>
      </c>
    </row>
    <row r="100" spans="1:6" ht="15.9" customHeight="1">
      <c r="A100" s="330"/>
      <c r="B100" s="330"/>
      <c r="C100" s="351"/>
      <c r="D100" s="352"/>
      <c r="E100" s="366"/>
      <c r="F100" s="344"/>
    </row>
    <row r="101" spans="1:6" ht="15.9" customHeight="1">
      <c r="A101" s="329" t="s">
        <v>94</v>
      </c>
      <c r="B101" s="329" t="s">
        <v>167</v>
      </c>
      <c r="C101" s="349"/>
      <c r="D101" s="350"/>
      <c r="E101" s="365"/>
      <c r="F101" s="343" t="str">
        <f>IF($E$22=0,"",ROUND(E101/$E$22,1))</f>
        <v/>
      </c>
    </row>
    <row r="102" spans="1:6" ht="15.9" customHeight="1">
      <c r="A102" s="330"/>
      <c r="B102" s="330"/>
      <c r="C102" s="351"/>
      <c r="D102" s="352"/>
      <c r="E102" s="366"/>
      <c r="F102" s="344"/>
    </row>
    <row r="103" spans="1:6" ht="15.9" customHeight="1">
      <c r="A103" s="329" t="s">
        <v>95</v>
      </c>
      <c r="B103" s="329" t="s">
        <v>96</v>
      </c>
      <c r="C103" s="349"/>
      <c r="D103" s="350"/>
      <c r="E103" s="331">
        <f>Anlagenverzeichnis!F27</f>
        <v>0</v>
      </c>
      <c r="F103" s="343" t="str">
        <f>IF($E$22=0,"",ROUND(E103/$E$22,1))</f>
        <v/>
      </c>
    </row>
    <row r="104" spans="1:6" ht="15.9" customHeight="1">
      <c r="A104" s="330"/>
      <c r="B104" s="330"/>
      <c r="C104" s="351"/>
      <c r="D104" s="352"/>
      <c r="E104" s="332"/>
      <c r="F104" s="344"/>
    </row>
    <row r="105" spans="1:6" ht="15.9" customHeight="1">
      <c r="A105" s="374" t="s">
        <v>97</v>
      </c>
      <c r="B105" s="380" t="s">
        <v>244</v>
      </c>
      <c r="C105" s="381"/>
      <c r="D105" s="382"/>
      <c r="E105" s="365"/>
      <c r="F105" s="343" t="str">
        <f>IF($E$22=0,"",ROUND(E105/$E$22,1))</f>
        <v/>
      </c>
    </row>
    <row r="106" spans="1:6" ht="15.9" customHeight="1" thickBot="1">
      <c r="A106" s="375"/>
      <c r="B106" s="386" t="s">
        <v>98</v>
      </c>
      <c r="C106" s="387"/>
      <c r="D106" s="388"/>
      <c r="E106" s="368"/>
      <c r="F106" s="371"/>
    </row>
    <row r="107" spans="1:6" ht="15.9" customHeight="1" thickTop="1">
      <c r="A107" s="376" t="s">
        <v>99</v>
      </c>
      <c r="B107" s="355" t="s">
        <v>245</v>
      </c>
      <c r="C107" s="356"/>
      <c r="D107" s="357"/>
      <c r="E107" s="361">
        <f>SUM(E93:E106)</f>
        <v>0</v>
      </c>
      <c r="F107" s="363" t="str">
        <f>IF($E$22=0,"",ROUND(E107/$E$22,1))</f>
        <v/>
      </c>
    </row>
    <row r="108" spans="1:6" ht="15.9" customHeight="1" thickBot="1">
      <c r="A108" s="373"/>
      <c r="B108" s="358" t="s">
        <v>100</v>
      </c>
      <c r="C108" s="359"/>
      <c r="D108" s="360"/>
      <c r="E108" s="362"/>
      <c r="F108" s="364"/>
    </row>
    <row r="109" spans="1:6" ht="15.9" customHeight="1" thickTop="1">
      <c r="A109" s="54"/>
      <c r="B109" s="19"/>
      <c r="C109" s="38"/>
      <c r="D109" s="38"/>
      <c r="E109" s="39"/>
      <c r="F109" s="40"/>
    </row>
    <row r="110" spans="1:6" ht="15.9" customHeight="1">
      <c r="A110" s="41"/>
      <c r="B110" s="39" t="s">
        <v>25</v>
      </c>
      <c r="C110" s="42"/>
      <c r="D110" s="42"/>
      <c r="E110" s="42"/>
      <c r="F110" s="43"/>
    </row>
    <row r="111" spans="1:6" ht="15.9" customHeight="1">
      <c r="A111" s="329" t="s">
        <v>101</v>
      </c>
      <c r="B111" s="329" t="s">
        <v>26</v>
      </c>
      <c r="C111" s="349"/>
      <c r="D111" s="350"/>
      <c r="E111" s="365"/>
      <c r="F111" s="343" t="str">
        <f>IF($E$22=0,"",ROUND(E111/$E$22,1))</f>
        <v/>
      </c>
    </row>
    <row r="112" spans="1:6" ht="15.9" customHeight="1">
      <c r="A112" s="330"/>
      <c r="B112" s="330"/>
      <c r="C112" s="351"/>
      <c r="D112" s="352"/>
      <c r="E112" s="366"/>
      <c r="F112" s="344"/>
    </row>
    <row r="113" spans="1:6" ht="15.9" customHeight="1">
      <c r="A113" s="374" t="s">
        <v>102</v>
      </c>
      <c r="B113" s="329" t="s">
        <v>27</v>
      </c>
      <c r="C113" s="349"/>
      <c r="D113" s="350"/>
      <c r="E113" s="365"/>
      <c r="F113" s="343" t="str">
        <f>IF($E$22=0,"",ROUND(E113/$E$22,1))</f>
        <v/>
      </c>
    </row>
    <row r="114" spans="1:6" ht="15.9" customHeight="1" thickBot="1">
      <c r="A114" s="375"/>
      <c r="B114" s="367"/>
      <c r="C114" s="369"/>
      <c r="D114" s="370"/>
      <c r="E114" s="368"/>
      <c r="F114" s="371"/>
    </row>
    <row r="115" spans="1:6" ht="15.9" customHeight="1" thickTop="1">
      <c r="A115" s="376" t="s">
        <v>103</v>
      </c>
      <c r="B115" s="355" t="s">
        <v>121</v>
      </c>
      <c r="C115" s="356"/>
      <c r="D115" s="357"/>
      <c r="E115" s="361">
        <f>E113+E111</f>
        <v>0</v>
      </c>
      <c r="F115" s="363" t="str">
        <f>IF($E$22=0,"",ROUND(E115/$E$22,1))</f>
        <v/>
      </c>
    </row>
    <row r="116" spans="1:6" ht="15.9" customHeight="1" thickBot="1">
      <c r="A116" s="373"/>
      <c r="B116" s="358" t="s">
        <v>104</v>
      </c>
      <c r="C116" s="359"/>
      <c r="D116" s="360"/>
      <c r="E116" s="362"/>
      <c r="F116" s="364"/>
    </row>
    <row r="117" spans="1:6" ht="15.9" customHeight="1" thickTop="1">
      <c r="A117" s="376" t="s">
        <v>105</v>
      </c>
      <c r="B117" s="355" t="s">
        <v>122</v>
      </c>
      <c r="C117" s="356"/>
      <c r="D117" s="357"/>
      <c r="E117" s="361">
        <f>E107-E115</f>
        <v>0</v>
      </c>
      <c r="F117" s="363" t="str">
        <f>IF($E$22=0,"",ROUND(E117/$E$22,1))</f>
        <v/>
      </c>
    </row>
    <row r="118" spans="1:6" ht="15.9" customHeight="1" thickBot="1">
      <c r="A118" s="373"/>
      <c r="B118" s="358" t="s">
        <v>106</v>
      </c>
      <c r="C118" s="359"/>
      <c r="D118" s="360"/>
      <c r="E118" s="362"/>
      <c r="F118" s="364"/>
    </row>
    <row r="119" spans="1:6" ht="15.75" customHeight="1" thickTop="1">
      <c r="A119" s="376" t="s">
        <v>107</v>
      </c>
      <c r="B119" s="355" t="s">
        <v>123</v>
      </c>
      <c r="C119" s="356"/>
      <c r="D119" s="357"/>
      <c r="E119" s="361">
        <f>E81+E117</f>
        <v>0</v>
      </c>
      <c r="F119" s="363" t="str">
        <f>IF($E$22=0,"",ROUND(E119/$E$22,1))</f>
        <v/>
      </c>
    </row>
    <row r="120" spans="1:6" ht="15.9" customHeight="1" thickBot="1">
      <c r="A120" s="373"/>
      <c r="B120" s="358" t="s">
        <v>108</v>
      </c>
      <c r="C120" s="359"/>
      <c r="D120" s="360"/>
      <c r="E120" s="362"/>
      <c r="F120" s="364"/>
    </row>
    <row r="121" spans="1:6" ht="15.9" customHeight="1" thickTop="1">
      <c r="A121" s="55"/>
      <c r="B121" s="56"/>
      <c r="C121" s="45"/>
      <c r="D121" s="45"/>
      <c r="E121" s="45"/>
      <c r="F121" s="45"/>
    </row>
    <row r="122" spans="1:6" ht="15.9" customHeight="1">
      <c r="A122" s="394" t="s">
        <v>109</v>
      </c>
      <c r="B122" s="395" t="s">
        <v>168</v>
      </c>
      <c r="C122" s="396"/>
      <c r="D122" s="397"/>
      <c r="E122" s="398">
        <f>E44+E119</f>
        <v>0</v>
      </c>
      <c r="F122" s="399" t="str">
        <f>IF($E$22=0,"",ROUND(E122/$E$22,1))</f>
        <v/>
      </c>
    </row>
    <row r="123" spans="1:6" ht="15.9" customHeight="1" thickBot="1">
      <c r="A123" s="373"/>
      <c r="B123" s="358" t="s">
        <v>110</v>
      </c>
      <c r="C123" s="359"/>
      <c r="D123" s="360"/>
      <c r="E123" s="362"/>
      <c r="F123" s="364"/>
    </row>
    <row r="124" spans="1:6" ht="15.9" customHeight="1" thickTop="1">
      <c r="A124" s="46"/>
      <c r="B124" s="19"/>
      <c r="C124" s="19"/>
      <c r="D124" s="19"/>
      <c r="E124" s="19"/>
      <c r="F124" s="19"/>
    </row>
    <row r="125" spans="1:6" ht="15.9" customHeight="1">
      <c r="A125" s="46"/>
      <c r="B125" s="392" t="s">
        <v>265</v>
      </c>
      <c r="C125" s="392"/>
      <c r="D125" s="392"/>
      <c r="E125" s="392"/>
      <c r="F125" s="392"/>
    </row>
    <row r="126" spans="1:6" ht="19.5" customHeight="1">
      <c r="A126" s="46"/>
      <c r="B126" s="392"/>
      <c r="C126" s="392"/>
      <c r="D126" s="392"/>
      <c r="E126" s="392"/>
      <c r="F126" s="392"/>
    </row>
    <row r="127" spans="1:6" ht="15.9" customHeight="1">
      <c r="A127" s="46"/>
      <c r="B127" s="19"/>
      <c r="C127" s="19"/>
      <c r="D127" s="19"/>
      <c r="E127" s="19"/>
      <c r="F127" s="19"/>
    </row>
    <row r="128" spans="1:6" ht="15.9" customHeight="1">
      <c r="A128" s="46"/>
      <c r="B128" s="260" t="s">
        <v>111</v>
      </c>
      <c r="C128" s="19"/>
      <c r="D128" s="57" t="s">
        <v>266</v>
      </c>
      <c r="E128" s="393"/>
      <c r="F128" s="393"/>
    </row>
    <row r="129" spans="1:6" ht="15.9" customHeight="1">
      <c r="A129" s="46"/>
      <c r="B129" s="19"/>
      <c r="C129" s="19"/>
      <c r="D129" s="19"/>
      <c r="E129" s="19"/>
      <c r="F129" s="39"/>
    </row>
    <row r="130" spans="1:6" ht="15.9" customHeight="1">
      <c r="A130" s="46"/>
      <c r="B130" s="19"/>
      <c r="C130" s="19"/>
      <c r="D130" s="19"/>
      <c r="E130" s="19"/>
      <c r="F130" s="19"/>
    </row>
    <row r="131" spans="1:6" ht="15.9" customHeight="1">
      <c r="A131" s="46"/>
      <c r="B131" s="35"/>
      <c r="C131" s="35"/>
      <c r="D131" s="35"/>
      <c r="E131" s="19"/>
      <c r="F131" s="19"/>
    </row>
    <row r="132" spans="1:6" ht="15.9" customHeight="1">
      <c r="A132" s="46"/>
      <c r="B132" s="57" t="s">
        <v>112</v>
      </c>
      <c r="C132" s="19"/>
      <c r="D132" s="19"/>
      <c r="E132" s="19"/>
      <c r="F132" s="57"/>
    </row>
    <row r="133" spans="1:6" ht="15.9" customHeight="1">
      <c r="A133" s="23"/>
      <c r="B133" s="24"/>
      <c r="C133" s="24"/>
      <c r="D133" s="24"/>
      <c r="E133" s="24"/>
      <c r="F133" s="24"/>
    </row>
    <row r="134" spans="1:6">
      <c r="A134" s="23"/>
      <c r="B134" s="24"/>
      <c r="C134" s="24"/>
      <c r="D134" s="24"/>
      <c r="E134" s="24"/>
      <c r="F134" s="24"/>
    </row>
  </sheetData>
  <sheetProtection algorithmName="SHA-512" hashValue="kExOGzSSjvOzIqnWO7ibo71GirMIqZTO/2FDZl25aubvAbzYfaDGwzOVS50rDwfI3RlSBxwgje6niSnHzh+LeA==" saltValue="mBJq4nVcKrgQsZ4M2QcYUw==" spinCount="100000" sheet="1" objects="1" scenarios="1"/>
  <mergeCells count="171">
    <mergeCell ref="A1:F1"/>
    <mergeCell ref="B125:F126"/>
    <mergeCell ref="E128:F128"/>
    <mergeCell ref="B22:C22"/>
    <mergeCell ref="A119:A120"/>
    <mergeCell ref="B119:D120"/>
    <mergeCell ref="E119:E120"/>
    <mergeCell ref="F119:F120"/>
    <mergeCell ref="A122:A123"/>
    <mergeCell ref="B122:D123"/>
    <mergeCell ref="E122:E123"/>
    <mergeCell ref="F122:F123"/>
    <mergeCell ref="A115:A116"/>
    <mergeCell ref="B115:D116"/>
    <mergeCell ref="E115:E116"/>
    <mergeCell ref="F115:F116"/>
    <mergeCell ref="A117:A118"/>
    <mergeCell ref="B117:D118"/>
    <mergeCell ref="E117:E118"/>
    <mergeCell ref="F117:F118"/>
    <mergeCell ref="A111:A112"/>
    <mergeCell ref="B111:D112"/>
    <mergeCell ref="E111:E112"/>
    <mergeCell ref="F111:F112"/>
    <mergeCell ref="A113:A114"/>
    <mergeCell ref="B113:D114"/>
    <mergeCell ref="E113:E114"/>
    <mergeCell ref="F113:F114"/>
    <mergeCell ref="A105:A106"/>
    <mergeCell ref="B105:D106"/>
    <mergeCell ref="E105:E106"/>
    <mergeCell ref="F105:F106"/>
    <mergeCell ref="A107:A108"/>
    <mergeCell ref="B107:D108"/>
    <mergeCell ref="E107:E108"/>
    <mergeCell ref="F107:F108"/>
    <mergeCell ref="A101:A102"/>
    <mergeCell ref="B101:D102"/>
    <mergeCell ref="E101:E102"/>
    <mergeCell ref="F101:F102"/>
    <mergeCell ref="A103:A104"/>
    <mergeCell ref="B103:D104"/>
    <mergeCell ref="E103:E104"/>
    <mergeCell ref="F103:F104"/>
    <mergeCell ref="A97:A98"/>
    <mergeCell ref="B97:D98"/>
    <mergeCell ref="E97:E98"/>
    <mergeCell ref="F97:F98"/>
    <mergeCell ref="A99:A100"/>
    <mergeCell ref="B99:D100"/>
    <mergeCell ref="E99:E100"/>
    <mergeCell ref="F99:F100"/>
    <mergeCell ref="A93:A94"/>
    <mergeCell ref="B93:D94"/>
    <mergeCell ref="E93:E94"/>
    <mergeCell ref="F93:F94"/>
    <mergeCell ref="A95:A96"/>
    <mergeCell ref="B95:D96"/>
    <mergeCell ref="E95:E96"/>
    <mergeCell ref="F95:F96"/>
    <mergeCell ref="A81:A82"/>
    <mergeCell ref="B81:D82"/>
    <mergeCell ref="E81:E82"/>
    <mergeCell ref="F81:F82"/>
    <mergeCell ref="A83:A84"/>
    <mergeCell ref="B83:D84"/>
    <mergeCell ref="E83:E84"/>
    <mergeCell ref="F83:F84"/>
    <mergeCell ref="A77:A78"/>
    <mergeCell ref="B77:D78"/>
    <mergeCell ref="E77:E78"/>
    <mergeCell ref="F77:F78"/>
    <mergeCell ref="A79:A80"/>
    <mergeCell ref="B79:D80"/>
    <mergeCell ref="E79:E80"/>
    <mergeCell ref="F79:F80"/>
    <mergeCell ref="A73:A74"/>
    <mergeCell ref="B73:D74"/>
    <mergeCell ref="E73:E74"/>
    <mergeCell ref="F73:F74"/>
    <mergeCell ref="A75:A76"/>
    <mergeCell ref="B75:D76"/>
    <mergeCell ref="E75:E76"/>
    <mergeCell ref="F75:F76"/>
    <mergeCell ref="A69:A70"/>
    <mergeCell ref="B69:D70"/>
    <mergeCell ref="E69:E70"/>
    <mergeCell ref="F69:F70"/>
    <mergeCell ref="A71:A72"/>
    <mergeCell ref="B71:D72"/>
    <mergeCell ref="E71:E72"/>
    <mergeCell ref="F71:F72"/>
    <mergeCell ref="A63:A64"/>
    <mergeCell ref="B63:D64"/>
    <mergeCell ref="E63:E64"/>
    <mergeCell ref="F63:F64"/>
    <mergeCell ref="A65:A66"/>
    <mergeCell ref="B65:D66"/>
    <mergeCell ref="E65:E66"/>
    <mergeCell ref="F65:F66"/>
    <mergeCell ref="A59:A60"/>
    <mergeCell ref="B59:D60"/>
    <mergeCell ref="E59:E60"/>
    <mergeCell ref="F59:F60"/>
    <mergeCell ref="A61:A62"/>
    <mergeCell ref="B61:D62"/>
    <mergeCell ref="E61:E62"/>
    <mergeCell ref="F61:F62"/>
    <mergeCell ref="A55:A56"/>
    <mergeCell ref="B55:D56"/>
    <mergeCell ref="E55:E56"/>
    <mergeCell ref="F55:F56"/>
    <mergeCell ref="A57:A58"/>
    <mergeCell ref="B57:D58"/>
    <mergeCell ref="E57:E58"/>
    <mergeCell ref="F57:F58"/>
    <mergeCell ref="F44:F45"/>
    <mergeCell ref="F34:F35"/>
    <mergeCell ref="F36:F37"/>
    <mergeCell ref="F38:F39"/>
    <mergeCell ref="B36:D37"/>
    <mergeCell ref="B38:D39"/>
    <mergeCell ref="A53:A54"/>
    <mergeCell ref="B53:D54"/>
    <mergeCell ref="E53:E54"/>
    <mergeCell ref="F53:F54"/>
    <mergeCell ref="A34:A35"/>
    <mergeCell ref="A36:A37"/>
    <mergeCell ref="A38:A39"/>
    <mergeCell ref="A40:A41"/>
    <mergeCell ref="A42:A43"/>
    <mergeCell ref="E40:E41"/>
    <mergeCell ref="E42:E43"/>
    <mergeCell ref="B40:D41"/>
    <mergeCell ref="B42:D43"/>
    <mergeCell ref="F40:F41"/>
    <mergeCell ref="F42:F43"/>
    <mergeCell ref="B34:D35"/>
    <mergeCell ref="B30:D31"/>
    <mergeCell ref="B32:D33"/>
    <mergeCell ref="E32:E33"/>
    <mergeCell ref="E34:E35"/>
    <mergeCell ref="E36:E37"/>
    <mergeCell ref="E38:E39"/>
    <mergeCell ref="A44:A45"/>
    <mergeCell ref="B44:D45"/>
    <mergeCell ref="E44:E45"/>
    <mergeCell ref="A2:F2"/>
    <mergeCell ref="C11:F11"/>
    <mergeCell ref="H42:H43"/>
    <mergeCell ref="I42:I43"/>
    <mergeCell ref="A30:A31"/>
    <mergeCell ref="E30:E31"/>
    <mergeCell ref="A32:A33"/>
    <mergeCell ref="C3:F3"/>
    <mergeCell ref="C4:F4"/>
    <mergeCell ref="C5:F5"/>
    <mergeCell ref="C6:F6"/>
    <mergeCell ref="C7:F7"/>
    <mergeCell ref="B14:C14"/>
    <mergeCell ref="E14:F14"/>
    <mergeCell ref="B16:C16"/>
    <mergeCell ref="E16:F16"/>
    <mergeCell ref="F30:F31"/>
    <mergeCell ref="F32:F33"/>
    <mergeCell ref="B18:C18"/>
    <mergeCell ref="B20:C20"/>
    <mergeCell ref="C8:F8"/>
    <mergeCell ref="C9:F9"/>
    <mergeCell ref="C10:F10"/>
    <mergeCell ref="C12:F12"/>
  </mergeCells>
  <dataValidations disablePrompts="1" count="1">
    <dataValidation type="list" allowBlank="1" showInputMessage="1" showErrorMessage="1" sqref="B22:C22" xr:uid="{98E43CB2-11C8-4115-813F-2B1A008B18A8}">
      <formula1>$H$21:$H$22</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&amp;LDatum des Ausdrucks
&amp;D&amp;CKalkulationsdatei (Version 2.1) gemäß
Beschluss der Hess. Jugendhilfekommission
vom 20. März 2026&amp;R Seite &amp;P von &amp;N</oddFooter>
  </headerFooter>
  <rowBreaks count="1" manualBreakCount="1">
    <brk id="87" max="16383" man="1"/>
  </rowBreaks>
  <ignoredErrors>
    <ignoredError sqref="A24:A1048576 A3:A22"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R54"/>
  <sheetViews>
    <sheetView showGridLines="0" zoomScaleNormal="100" workbookViewId="0">
      <pane xSplit="6" ySplit="7" topLeftCell="G8" activePane="bottomRight" state="frozen"/>
      <selection pane="topRight" activeCell="G1" sqref="G1"/>
      <selection pane="bottomLeft" activeCell="A8" sqref="A8"/>
      <selection pane="bottomRight" activeCell="C9" sqref="C9"/>
    </sheetView>
  </sheetViews>
  <sheetFormatPr baseColWidth="10" defaultColWidth="11.44140625" defaultRowHeight="13.8"/>
  <cols>
    <col min="1" max="1" width="4.5546875" style="1" customWidth="1"/>
    <col min="2" max="2" width="3.5546875" style="1" hidden="1" customWidth="1"/>
    <col min="3" max="3" width="35.6640625" style="1" customWidth="1"/>
    <col min="4" max="4" width="7.109375" style="58" customWidth="1"/>
    <col min="5" max="6" width="15.44140625" style="59" customWidth="1"/>
    <col min="7" max="7" width="16.5546875" style="59" customWidth="1"/>
    <col min="8" max="8" width="17.6640625" style="1" customWidth="1"/>
    <col min="9" max="9" width="13" style="1" bestFit="1" customWidth="1"/>
    <col min="10" max="10" width="11.44140625" style="1"/>
    <col min="11" max="11" width="7" style="1" customWidth="1"/>
    <col min="12" max="12" width="11.33203125" style="1" customWidth="1"/>
    <col min="13" max="13" width="11.44140625" style="230"/>
    <col min="14" max="14" width="22.44140625" style="1" customWidth="1"/>
    <col min="15" max="15" width="15.33203125" style="1" customWidth="1"/>
    <col min="16" max="16384" width="11.44140625" style="1"/>
  </cols>
  <sheetData>
    <row r="1" spans="1:15" ht="17.399999999999999">
      <c r="B1" s="145"/>
      <c r="C1" s="145"/>
      <c r="D1" s="145"/>
      <c r="E1" s="146" t="s">
        <v>238</v>
      </c>
      <c r="F1" s="146"/>
      <c r="G1" s="145"/>
      <c r="H1" s="145"/>
    </row>
    <row r="2" spans="1:15" ht="9.75" customHeight="1"/>
    <row r="3" spans="1:15" ht="17.25" customHeight="1">
      <c r="C3" s="1" t="s">
        <v>135</v>
      </c>
      <c r="D3" s="261"/>
      <c r="E3" s="65" t="s">
        <v>154</v>
      </c>
      <c r="F3" s="65"/>
    </row>
    <row r="4" spans="1:15" ht="9.75" customHeight="1"/>
    <row r="5" spans="1:15" s="4" customFormat="1" ht="24" customHeight="1">
      <c r="C5" s="309" t="s">
        <v>132</v>
      </c>
      <c r="D5" s="402" t="s">
        <v>207</v>
      </c>
      <c r="E5" s="407" t="s">
        <v>229</v>
      </c>
      <c r="F5" s="400" t="s">
        <v>243</v>
      </c>
      <c r="G5" s="400" t="s">
        <v>230</v>
      </c>
      <c r="H5" s="309" t="s">
        <v>10</v>
      </c>
      <c r="I5" s="404" t="s">
        <v>176</v>
      </c>
      <c r="J5" s="404"/>
      <c r="K5" s="404"/>
      <c r="L5" s="404"/>
      <c r="M5" s="231"/>
    </row>
    <row r="6" spans="1:15" ht="22.5" customHeight="1">
      <c r="C6" s="309"/>
      <c r="D6" s="403"/>
      <c r="E6" s="407"/>
      <c r="F6" s="408"/>
      <c r="G6" s="401"/>
      <c r="H6" s="309"/>
      <c r="I6" s="137" t="s">
        <v>180</v>
      </c>
      <c r="J6" s="138" t="s">
        <v>9</v>
      </c>
      <c r="K6" s="405" t="s">
        <v>177</v>
      </c>
      <c r="L6" s="406"/>
    </row>
    <row r="7" spans="1:15" ht="20.100000000000001" customHeight="1">
      <c r="C7" s="4"/>
      <c r="D7" s="303"/>
      <c r="N7" s="179" t="s">
        <v>239</v>
      </c>
    </row>
    <row r="8" spans="1:15" s="61" customFormat="1" ht="20.100000000000001" customHeight="1">
      <c r="A8" s="60" t="s">
        <v>53</v>
      </c>
      <c r="C8" s="61" t="s">
        <v>0</v>
      </c>
      <c r="D8" s="171"/>
      <c r="E8" s="62"/>
      <c r="F8" s="62"/>
      <c r="G8" s="62"/>
      <c r="H8" s="62">
        <f>IF(M8="Fehler","Fehler",SUM(G9:G17))</f>
        <v>0</v>
      </c>
      <c r="J8" s="144" t="str">
        <f>IF(SUM(I9:I17)=0,"",SUM(I9:I17))</f>
        <v/>
      </c>
      <c r="K8" s="142" t="s">
        <v>178</v>
      </c>
      <c r="L8" s="143" t="str">
        <f>IF('PK Zusammenfassung'!J8="","",Kalkulationsblatt!E$18/'PK Zusammenfassung'!J8)</f>
        <v/>
      </c>
      <c r="M8" s="228" t="str">
        <f>IF(COUNTBLANK(M9:M17)&lt;9,"Fehler","")</f>
        <v/>
      </c>
      <c r="N8" s="66" t="s">
        <v>259</v>
      </c>
      <c r="O8" s="262">
        <v>3.96</v>
      </c>
    </row>
    <row r="9" spans="1:15" s="63" customFormat="1" ht="20.100000000000001" customHeight="1">
      <c r="C9" s="262"/>
      <c r="D9" s="261"/>
      <c r="E9" s="106" t="str">
        <f>'PK AG_Brutto'!L6</f>
        <v/>
      </c>
      <c r="F9" s="263"/>
      <c r="G9" s="106" t="str">
        <f>IF(AND(E9="",F9=0),"",IF(F9&gt;0,D9*F9,D9*E9))</f>
        <v/>
      </c>
      <c r="I9" s="139">
        <f>D9</f>
        <v>0</v>
      </c>
      <c r="J9" s="140"/>
      <c r="M9" s="228" t="str">
        <f>IF(D9&gt;0,IF(G9="","Bitte Personalkosten in den folgenden Tabellenblättern oder alternativ in Spalte F eintragen",""),IF(G9="","","Stellenanteil -VZK oder Multiplikator für die Personalkosten eintragen"))</f>
        <v/>
      </c>
      <c r="N9" s="66" t="s">
        <v>260</v>
      </c>
      <c r="O9" s="262">
        <v>2.0699999999999998</v>
      </c>
    </row>
    <row r="10" spans="1:15" s="63" customFormat="1" ht="20.100000000000001" customHeight="1">
      <c r="C10" s="262"/>
      <c r="D10" s="261"/>
      <c r="E10" s="106" t="str">
        <f>'PK AG_Brutto'!L7</f>
        <v/>
      </c>
      <c r="F10" s="263"/>
      <c r="G10" s="106" t="str">
        <f t="shared" ref="G10:G17" si="0">IF(AND(E10="",F10=0),"",IF(F10&gt;0,D10*F10,D10*E10))</f>
        <v/>
      </c>
      <c r="I10" s="139">
        <f>D10</f>
        <v>0</v>
      </c>
      <c r="J10" s="140"/>
      <c r="M10" s="228" t="str">
        <f t="shared" ref="M10:M17" si="1">IF(D10&gt;0,IF(G10="","Bitte Personalkosten in den folgenden Tabellenblättern oder alternativ in Spalte F eintragen",""),IF(G10="","","Stellenanteil -VZK oder Multiplikator für die Personalkosten eintragen"))</f>
        <v/>
      </c>
      <c r="N10" s="66" t="s">
        <v>261</v>
      </c>
      <c r="O10" s="279">
        <v>0.08</v>
      </c>
    </row>
    <row r="11" spans="1:15" s="63" customFormat="1" ht="20.100000000000001" customHeight="1">
      <c r="C11" s="262"/>
      <c r="D11" s="261"/>
      <c r="E11" s="106" t="str">
        <f>'PK AG_Brutto'!L8</f>
        <v/>
      </c>
      <c r="F11" s="263"/>
      <c r="G11" s="106" t="str">
        <f t="shared" si="0"/>
        <v/>
      </c>
      <c r="I11" s="139">
        <f>D11</f>
        <v>0</v>
      </c>
      <c r="J11" s="140"/>
      <c r="M11" s="228" t="str">
        <f t="shared" si="1"/>
        <v/>
      </c>
      <c r="N11" s="66" t="s">
        <v>262</v>
      </c>
      <c r="O11" s="304">
        <f>ROUND(IF(Kalkulationsblatt!B22="freinichtgemeinnützig",(H54*O8*O9)/1000,(H54*O8*O9)/1000+ROUNDDOWN(((H54*O8*O9)/1000),-3)/1000*O10),0)</f>
        <v>0</v>
      </c>
    </row>
    <row r="12" spans="1:15" s="63" customFormat="1" ht="20.100000000000001" customHeight="1">
      <c r="C12" s="262"/>
      <c r="D12" s="261"/>
      <c r="E12" s="106" t="str">
        <f>'PK AG_Brutto'!L9</f>
        <v/>
      </c>
      <c r="F12" s="263"/>
      <c r="G12" s="106" t="str">
        <f t="shared" si="0"/>
        <v/>
      </c>
      <c r="I12" s="139">
        <f>D12</f>
        <v>0</v>
      </c>
      <c r="J12" s="140"/>
      <c r="M12" s="228" t="str">
        <f t="shared" si="1"/>
        <v/>
      </c>
    </row>
    <row r="13" spans="1:15" s="63" customFormat="1" ht="20.100000000000001" customHeight="1">
      <c r="C13" s="262"/>
      <c r="D13" s="261"/>
      <c r="E13" s="106" t="str">
        <f>'PK AG_Brutto'!L10</f>
        <v/>
      </c>
      <c r="F13" s="263"/>
      <c r="G13" s="106" t="str">
        <f t="shared" ref="G13" si="2">IF(AND(E13="",F13=0),"",IF(F13&gt;0,D13*F13,D13*E13))</f>
        <v/>
      </c>
      <c r="I13" s="139">
        <f>D13</f>
        <v>0</v>
      </c>
      <c r="J13" s="140"/>
      <c r="M13" s="228" t="str">
        <f t="shared" si="1"/>
        <v/>
      </c>
    </row>
    <row r="14" spans="1:15" s="63" customFormat="1" ht="20.100000000000001" customHeight="1">
      <c r="C14" s="66" t="s">
        <v>7</v>
      </c>
      <c r="D14" s="261"/>
      <c r="E14" s="106" t="str">
        <f>'PK AG_Brutto'!L11</f>
        <v/>
      </c>
      <c r="F14" s="263"/>
      <c r="G14" s="106" t="str">
        <f t="shared" si="0"/>
        <v/>
      </c>
      <c r="I14" s="139">
        <f>D14/2</f>
        <v>0</v>
      </c>
      <c r="J14" s="140"/>
      <c r="M14" s="228" t="str">
        <f t="shared" si="1"/>
        <v/>
      </c>
    </row>
    <row r="15" spans="1:15" s="63" customFormat="1" ht="20.100000000000001" customHeight="1">
      <c r="C15" s="66" t="s">
        <v>208</v>
      </c>
      <c r="D15" s="261"/>
      <c r="E15" s="106" t="str">
        <f>'PK AG_Brutto'!L12</f>
        <v/>
      </c>
      <c r="F15" s="263"/>
      <c r="G15" s="106" t="str">
        <f t="shared" si="0"/>
        <v/>
      </c>
      <c r="I15" s="264"/>
      <c r="J15" s="140"/>
      <c r="M15" s="228" t="str">
        <f t="shared" si="1"/>
        <v/>
      </c>
    </row>
    <row r="16" spans="1:15" s="63" customFormat="1" ht="20.100000000000001" customHeight="1">
      <c r="C16" s="66" t="s">
        <v>124</v>
      </c>
      <c r="D16" s="261"/>
      <c r="E16" s="106" t="str">
        <f>'PK AG_Brutto'!L13</f>
        <v/>
      </c>
      <c r="F16" s="263"/>
      <c r="G16" s="106" t="str">
        <f t="shared" si="0"/>
        <v/>
      </c>
      <c r="I16" s="149"/>
      <c r="L16" s="147" t="s">
        <v>179</v>
      </c>
      <c r="M16" s="228" t="str">
        <f t="shared" si="1"/>
        <v/>
      </c>
      <c r="O16" s="306"/>
    </row>
    <row r="17" spans="1:18" s="63" customFormat="1" ht="20.100000000000001" customHeight="1">
      <c r="C17" s="66" t="s">
        <v>131</v>
      </c>
      <c r="D17" s="261"/>
      <c r="E17" s="106" t="str">
        <f>'PK AG_Brutto'!L14</f>
        <v/>
      </c>
      <c r="F17" s="263"/>
      <c r="G17" s="106" t="str">
        <f t="shared" si="0"/>
        <v/>
      </c>
      <c r="I17" s="264"/>
      <c r="J17" s="140"/>
      <c r="M17" s="228" t="str">
        <f t="shared" si="1"/>
        <v/>
      </c>
    </row>
    <row r="18" spans="1:18" s="63" customFormat="1" ht="20.100000000000001" customHeight="1">
      <c r="D18" s="58"/>
      <c r="E18" s="65"/>
      <c r="F18" s="65"/>
      <c r="G18" s="65"/>
      <c r="I18" s="64"/>
      <c r="M18" s="228"/>
    </row>
    <row r="19" spans="1:18" s="61" customFormat="1" ht="20.100000000000001" customHeight="1">
      <c r="A19" s="60" t="s">
        <v>54</v>
      </c>
      <c r="C19" s="61" t="s">
        <v>1</v>
      </c>
      <c r="D19" s="171"/>
      <c r="E19" s="65"/>
      <c r="F19" s="65"/>
      <c r="G19" s="65"/>
      <c r="H19" s="62">
        <f>IF(M19="Fehler","Fehler",SUM(G20:G25))</f>
        <v>0</v>
      </c>
      <c r="I19" s="64"/>
      <c r="J19" s="141" t="str">
        <f>IF(SUM(I20:I25)=0,"",SUM(I20:I25))</f>
        <v/>
      </c>
      <c r="K19" s="142" t="s">
        <v>178</v>
      </c>
      <c r="L19" s="143" t="str">
        <f>IF('PK Zusammenfassung'!J19="","",Kalkulationsblatt!E$18/'PK Zusammenfassung'!J19)</f>
        <v/>
      </c>
      <c r="M19" s="228" t="str">
        <f>IF(COUNTBLANK(M20:M25)&lt;6,"Fehler","")</f>
        <v/>
      </c>
    </row>
    <row r="20" spans="1:18" s="63" customFormat="1" ht="20.100000000000001" customHeight="1">
      <c r="C20" s="262"/>
      <c r="D20" s="265"/>
      <c r="E20" s="106" t="str">
        <f>'PK AG_Brutto'!L17</f>
        <v/>
      </c>
      <c r="F20" s="263"/>
      <c r="G20" s="106" t="str">
        <f t="shared" ref="G20:G25" si="3">IF(AND(E20="",F20=0),"",IF(F20&gt;0,D20*F20,D20*E20))</f>
        <v/>
      </c>
      <c r="I20" s="139">
        <f>D20</f>
        <v>0</v>
      </c>
      <c r="J20" s="140"/>
      <c r="M20" s="228" t="str">
        <f t="shared" ref="M20:M25" si="4">IF(D20&gt;0,IF(G20="","Bitte Personalkosten in den folgenden Tabellenblättern oder alternativ in Spalte F eintragen",""),IF(G20="","","Stellenanteil -VZK oder Multiplikator für die Personalkosten eintragen"))</f>
        <v/>
      </c>
    </row>
    <row r="21" spans="1:18" s="63" customFormat="1" ht="20.100000000000001" customHeight="1">
      <c r="C21" s="262"/>
      <c r="D21" s="261"/>
      <c r="E21" s="106" t="str">
        <f>'PK AG_Brutto'!L18</f>
        <v/>
      </c>
      <c r="F21" s="263"/>
      <c r="G21" s="106" t="str">
        <f t="shared" si="3"/>
        <v/>
      </c>
      <c r="I21" s="139">
        <f>D21</f>
        <v>0</v>
      </c>
      <c r="J21" s="140"/>
      <c r="M21" s="228" t="str">
        <f t="shared" si="4"/>
        <v/>
      </c>
    </row>
    <row r="22" spans="1:18" s="63" customFormat="1" ht="20.100000000000001" customHeight="1">
      <c r="C22" s="262"/>
      <c r="D22" s="261"/>
      <c r="E22" s="106" t="str">
        <f>'PK AG_Brutto'!L19</f>
        <v/>
      </c>
      <c r="F22" s="263"/>
      <c r="G22" s="106" t="str">
        <f t="shared" si="3"/>
        <v/>
      </c>
      <c r="I22" s="139">
        <f>D22</f>
        <v>0</v>
      </c>
      <c r="J22" s="140"/>
      <c r="M22" s="228" t="str">
        <f t="shared" si="4"/>
        <v/>
      </c>
    </row>
    <row r="23" spans="1:18" s="63" customFormat="1" ht="20.100000000000001" customHeight="1">
      <c r="C23" s="262"/>
      <c r="D23" s="261"/>
      <c r="E23" s="106" t="str">
        <f>'PK AG_Brutto'!L20</f>
        <v/>
      </c>
      <c r="F23" s="263"/>
      <c r="G23" s="106" t="str">
        <f t="shared" si="3"/>
        <v/>
      </c>
      <c r="I23" s="139">
        <f>D23</f>
        <v>0</v>
      </c>
      <c r="J23" s="140"/>
      <c r="M23" s="228" t="str">
        <f t="shared" si="4"/>
        <v/>
      </c>
    </row>
    <row r="24" spans="1:18" s="63" customFormat="1" ht="20.100000000000001" customHeight="1">
      <c r="C24" s="66" t="s">
        <v>208</v>
      </c>
      <c r="D24" s="261"/>
      <c r="E24" s="106" t="str">
        <f>'PK AG_Brutto'!L21</f>
        <v/>
      </c>
      <c r="F24" s="263"/>
      <c r="G24" s="106" t="str">
        <f t="shared" si="3"/>
        <v/>
      </c>
      <c r="I24" s="264"/>
      <c r="J24" s="140"/>
      <c r="M24" s="228" t="str">
        <f t="shared" si="4"/>
        <v/>
      </c>
    </row>
    <row r="25" spans="1:18" s="63" customFormat="1" ht="20.100000000000001" customHeight="1">
      <c r="C25" s="66" t="s">
        <v>131</v>
      </c>
      <c r="D25" s="261"/>
      <c r="E25" s="106" t="str">
        <f>'PK AG_Brutto'!L22</f>
        <v/>
      </c>
      <c r="F25" s="263"/>
      <c r="G25" s="106" t="str">
        <f t="shared" si="3"/>
        <v/>
      </c>
      <c r="I25" s="264"/>
      <c r="J25" s="140"/>
      <c r="M25" s="228" t="str">
        <f t="shared" si="4"/>
        <v/>
      </c>
    </row>
    <row r="26" spans="1:18" s="63" customFormat="1" ht="20.100000000000001" customHeight="1">
      <c r="D26" s="58"/>
      <c r="E26" s="65"/>
      <c r="F26" s="65"/>
      <c r="G26" s="65"/>
      <c r="I26" s="64"/>
      <c r="M26" s="228"/>
    </row>
    <row r="27" spans="1:18" s="63" customFormat="1" ht="20.100000000000001" customHeight="1">
      <c r="A27" s="60" t="s">
        <v>55</v>
      </c>
      <c r="C27" s="61" t="s">
        <v>2</v>
      </c>
      <c r="D27" s="58"/>
      <c r="E27" s="65"/>
      <c r="F27" s="65"/>
      <c r="G27" s="65"/>
      <c r="I27" s="64"/>
      <c r="M27" s="228"/>
      <c r="R27" s="167"/>
    </row>
    <row r="28" spans="1:18" s="63" customFormat="1" ht="20.100000000000001" customHeight="1">
      <c r="B28" s="92"/>
      <c r="C28" s="67" t="s">
        <v>255</v>
      </c>
      <c r="D28" s="266"/>
      <c r="E28" s="170"/>
      <c r="F28" s="170"/>
      <c r="G28" s="169"/>
      <c r="H28" s="62">
        <f>IF(M28="Fehler","Fehler",IF(D28&gt;0,(H$8+H$19+H$47+Kalkulationsblatt!E42)*D28,SUM(G29:G30)))</f>
        <v>0</v>
      </c>
      <c r="I28" s="64"/>
      <c r="J28" s="141">
        <f>IF(D28&gt;0,"",SUM(I29:I30))</f>
        <v>0</v>
      </c>
      <c r="K28" s="142" t="s">
        <v>178</v>
      </c>
      <c r="L28" s="143" t="e">
        <f>IF('PK Zusammenfassung'!J28="","",Kalkulationsblatt!E$18/'PK Zusammenfassung'!J28)</f>
        <v>#DIV/0!</v>
      </c>
      <c r="M28" s="228" t="str">
        <f>IF(COUNTBLANK(M29:M30)&lt;2,"Fehler","")</f>
        <v/>
      </c>
    </row>
    <row r="29" spans="1:18" s="63" customFormat="1" ht="20.100000000000001" customHeight="1">
      <c r="C29" s="262"/>
      <c r="D29" s="261"/>
      <c r="E29" s="106" t="str">
        <f>'PK AG_Brutto'!L25</f>
        <v/>
      </c>
      <c r="F29" s="263"/>
      <c r="G29" s="106" t="str">
        <f>IF(AND(E29="",F29=0),"",IF(F29&gt;0,D29*F29,D29*E29))</f>
        <v/>
      </c>
      <c r="I29" s="139">
        <f>D29</f>
        <v>0</v>
      </c>
      <c r="J29" s="140"/>
      <c r="L29" s="167"/>
      <c r="M29" s="228" t="str">
        <f t="shared" ref="M29:M30" si="5">IF(D29&gt;0,IF(G29="","Bitte Personalkosten in den folgenden Tabellenblättern oder alternativ in Spalte F eintragen",""),IF(G29="","","Stellenanteil -VZK oder Multiplikator für die Personalkosten eintragen"))</f>
        <v/>
      </c>
    </row>
    <row r="30" spans="1:18" s="63" customFormat="1" ht="20.100000000000001" customHeight="1">
      <c r="C30" s="262"/>
      <c r="D30" s="261"/>
      <c r="E30" s="106" t="str">
        <f>'PK AG_Brutto'!L26</f>
        <v/>
      </c>
      <c r="F30" s="263"/>
      <c r="G30" s="106" t="str">
        <f>IF(AND(E30="",F30=0),"",IF(F30&gt;0,D30*F30,D30*E30))</f>
        <v/>
      </c>
      <c r="I30" s="139">
        <f>D30</f>
        <v>0</v>
      </c>
      <c r="J30" s="140"/>
      <c r="L30" s="167"/>
      <c r="M30" s="228" t="str">
        <f t="shared" si="5"/>
        <v/>
      </c>
    </row>
    <row r="31" spans="1:18" s="63" customFormat="1" ht="20.100000000000001" customHeight="1">
      <c r="D31" s="58"/>
      <c r="E31" s="65"/>
      <c r="F31" s="65"/>
      <c r="G31" s="65"/>
      <c r="I31" s="64"/>
      <c r="L31" s="167"/>
      <c r="M31" s="228"/>
    </row>
    <row r="32" spans="1:18" s="63" customFormat="1" ht="20.100000000000001" customHeight="1">
      <c r="A32" s="60" t="s">
        <v>56</v>
      </c>
      <c r="C32" s="61" t="s">
        <v>3</v>
      </c>
      <c r="D32" s="58"/>
      <c r="E32" s="65"/>
      <c r="F32" s="65"/>
      <c r="G32" s="65"/>
      <c r="I32" s="64"/>
      <c r="L32" s="167"/>
      <c r="M32" s="228"/>
    </row>
    <row r="33" spans="1:13" s="63" customFormat="1" ht="20.100000000000001" customHeight="1">
      <c r="B33" s="160"/>
      <c r="C33" s="67" t="s">
        <v>255</v>
      </c>
      <c r="D33" s="266"/>
      <c r="E33" s="65"/>
      <c r="F33" s="65"/>
      <c r="G33" s="65"/>
      <c r="H33" s="62">
        <f>IF(M33="Fehler","Fehler",IF(D33&gt;0,(H$8+H$19+H$47+Kalkulationsblatt!E42)*D33,SUM(G34:G38)))</f>
        <v>0</v>
      </c>
      <c r="I33" s="64"/>
      <c r="J33" s="141">
        <f>IF(D33&gt;0,"",SUM(I34:I38))</f>
        <v>0.15</v>
      </c>
      <c r="K33" s="142" t="s">
        <v>178</v>
      </c>
      <c r="L33" s="143">
        <f>IF('PK Zusammenfassung'!J33="","",Kalkulationsblatt!E$18/'PK Zusammenfassung'!J33)</f>
        <v>0</v>
      </c>
      <c r="M33" s="228" t="str">
        <f>IF(COUNTBLANK(M34:M38)&lt;5,"Fehler","")</f>
        <v/>
      </c>
    </row>
    <row r="34" spans="1:13" s="63" customFormat="1" ht="20.100000000000001" customHeight="1">
      <c r="C34" s="262"/>
      <c r="D34" s="261"/>
      <c r="E34" s="106" t="str">
        <f>'PK AG_Brutto'!L29</f>
        <v/>
      </c>
      <c r="F34" s="263"/>
      <c r="G34" s="106" t="str">
        <f>IF(AND(E34="",F34=0),"",IF(F34&gt;0,D34*F34,D34*E34))</f>
        <v/>
      </c>
      <c r="I34" s="139">
        <f>D34</f>
        <v>0</v>
      </c>
      <c r="J34" s="140"/>
      <c r="M34" s="228" t="str">
        <f t="shared" ref="M34:M38" si="6">IF(D34&gt;0,IF(G34="","Bitte Personalkosten in den folgenden Tabellenblättern oder alternativ in Spalte F eintragen",""),IF(G34="","","Stellenanteil -VZK oder Multiplikator für die Personalkosten eintragen"))</f>
        <v/>
      </c>
    </row>
    <row r="35" spans="1:13" s="63" customFormat="1" ht="20.100000000000001" customHeight="1">
      <c r="C35" s="262"/>
      <c r="D35" s="261"/>
      <c r="E35" s="106" t="str">
        <f>'PK AG_Brutto'!L30</f>
        <v/>
      </c>
      <c r="F35" s="263"/>
      <c r="G35" s="106" t="str">
        <f>IF(AND(E35="",F35=0),"",IF(F35&gt;0,D35*F35,D35*E35))</f>
        <v/>
      </c>
      <c r="I35" s="139">
        <f>D35</f>
        <v>0</v>
      </c>
      <c r="J35" s="140"/>
      <c r="M35" s="228" t="str">
        <f t="shared" si="6"/>
        <v/>
      </c>
    </row>
    <row r="36" spans="1:13" s="63" customFormat="1" ht="20.100000000000001" customHeight="1">
      <c r="C36" s="262"/>
      <c r="D36" s="261"/>
      <c r="E36" s="106" t="str">
        <f>'PK AG_Brutto'!L31</f>
        <v/>
      </c>
      <c r="F36" s="263"/>
      <c r="G36" s="106" t="str">
        <f>IF(AND(E36="",F36=0),"",IF(F36&gt;0,D36*F36,D36*E36))</f>
        <v/>
      </c>
      <c r="I36" s="139">
        <f>D36</f>
        <v>0</v>
      </c>
      <c r="J36" s="140"/>
      <c r="M36" s="228" t="str">
        <f t="shared" si="6"/>
        <v/>
      </c>
    </row>
    <row r="37" spans="1:13" s="63" customFormat="1" ht="20.100000000000001" customHeight="1">
      <c r="C37" s="66" t="s">
        <v>208</v>
      </c>
      <c r="D37" s="261"/>
      <c r="E37" s="106" t="str">
        <f>'PK AG_Brutto'!L32</f>
        <v/>
      </c>
      <c r="F37" s="263"/>
      <c r="G37" s="106" t="str">
        <f>IF(AND(E37="",F37=0),"",IF(F37&gt;0,D37*F37,D37*E37))</f>
        <v/>
      </c>
      <c r="I37" s="264">
        <v>0.15</v>
      </c>
      <c r="J37" s="140"/>
      <c r="M37" s="228" t="str">
        <f t="shared" si="6"/>
        <v/>
      </c>
    </row>
    <row r="38" spans="1:13" s="63" customFormat="1" ht="20.100000000000001" customHeight="1">
      <c r="C38" s="66" t="s">
        <v>131</v>
      </c>
      <c r="D38" s="261"/>
      <c r="E38" s="106" t="str">
        <f>'PK AG_Brutto'!L33</f>
        <v/>
      </c>
      <c r="F38" s="263"/>
      <c r="G38" s="106" t="str">
        <f>IF(AND(E38="",F38=0),"",IF(F38&gt;0,D38*F38,D38*E38))</f>
        <v/>
      </c>
      <c r="I38" s="264"/>
      <c r="J38" s="140"/>
      <c r="M38" s="228" t="str">
        <f t="shared" si="6"/>
        <v/>
      </c>
    </row>
    <row r="39" spans="1:13" s="63" customFormat="1" ht="20.100000000000001" customHeight="1">
      <c r="D39" s="58"/>
      <c r="E39" s="65"/>
      <c r="F39" s="65"/>
      <c r="G39" s="65"/>
      <c r="H39" s="65"/>
      <c r="I39" s="64"/>
      <c r="M39" s="228"/>
    </row>
    <row r="40" spans="1:13" s="61" customFormat="1" ht="20.100000000000001" customHeight="1">
      <c r="A40" s="60" t="s">
        <v>57</v>
      </c>
      <c r="C40" s="61" t="s">
        <v>4</v>
      </c>
      <c r="D40" s="171"/>
      <c r="E40" s="65"/>
      <c r="F40" s="65"/>
      <c r="G40" s="65"/>
      <c r="H40" s="62">
        <f>IF(M40="Fehler","Fehler",SUM(G41:G45))</f>
        <v>0</v>
      </c>
      <c r="I40" s="64"/>
      <c r="J40" s="141" t="str">
        <f>IF(SUM(I41:I45)=0,"",SUM(I41:I45))</f>
        <v/>
      </c>
      <c r="K40" s="142" t="s">
        <v>178</v>
      </c>
      <c r="L40" s="143" t="str">
        <f>IF('PK Zusammenfassung'!J40="","",Kalkulationsblatt!E$18/'PK Zusammenfassung'!J40)</f>
        <v/>
      </c>
      <c r="M40" s="228" t="str">
        <f>IF(COUNTBLANK(M41:M45)&lt;5,"Fehler","")</f>
        <v/>
      </c>
    </row>
    <row r="41" spans="1:13" s="63" customFormat="1" ht="20.100000000000001" customHeight="1">
      <c r="C41" s="262"/>
      <c r="D41" s="265"/>
      <c r="E41" s="106" t="str">
        <f>'PK AG_Brutto'!L36</f>
        <v/>
      </c>
      <c r="F41" s="263"/>
      <c r="G41" s="106" t="str">
        <f>IF(AND(E41="",F41=0),"",IF(F41&gt;0,D41*F41,D41*E41))</f>
        <v/>
      </c>
      <c r="I41" s="139">
        <f>D41</f>
        <v>0</v>
      </c>
      <c r="J41" s="140"/>
      <c r="M41" s="228" t="str">
        <f t="shared" ref="M41:M45" si="7">IF(D41&gt;0,IF(G41="","Bitte Personalkosten in den folgenden Tabellenblättern oder alternativ in Spalte F eintragen",""),IF(G41="","","Stellenanteil -VZK oder Multiplikator für die Personalkosten eintragen"))</f>
        <v/>
      </c>
    </row>
    <row r="42" spans="1:13" s="63" customFormat="1" ht="20.100000000000001" customHeight="1">
      <c r="C42" s="262"/>
      <c r="D42" s="261"/>
      <c r="E42" s="106" t="str">
        <f>'PK AG_Brutto'!L37</f>
        <v/>
      </c>
      <c r="F42" s="263"/>
      <c r="G42" s="106" t="str">
        <f>IF(AND(E42="",F42=0),"",IF(F42&gt;0,D42*F42,D42*E42))</f>
        <v/>
      </c>
      <c r="I42" s="139">
        <f>D42</f>
        <v>0</v>
      </c>
      <c r="J42" s="140"/>
      <c r="M42" s="228" t="str">
        <f t="shared" si="7"/>
        <v/>
      </c>
    </row>
    <row r="43" spans="1:13" s="63" customFormat="1" ht="20.100000000000001" customHeight="1">
      <c r="C43" s="66" t="s">
        <v>208</v>
      </c>
      <c r="D43" s="261"/>
      <c r="E43" s="106" t="str">
        <f>'PK AG_Brutto'!L38</f>
        <v/>
      </c>
      <c r="F43" s="263"/>
      <c r="G43" s="106" t="str">
        <f>IF(AND(E43="",F43=0),"",IF(F43&gt;0,D43*F43,D43*E43))</f>
        <v/>
      </c>
      <c r="I43" s="264"/>
      <c r="J43" s="140"/>
      <c r="M43" s="228" t="str">
        <f t="shared" si="7"/>
        <v/>
      </c>
    </row>
    <row r="44" spans="1:13" s="63" customFormat="1" ht="20.100000000000001" customHeight="1">
      <c r="C44" s="66" t="s">
        <v>124</v>
      </c>
      <c r="D44" s="261"/>
      <c r="E44" s="106" t="str">
        <f>'PK AG_Brutto'!L39</f>
        <v/>
      </c>
      <c r="F44" s="263"/>
      <c r="G44" s="106" t="str">
        <f>IF(AND(E44="",F44=0),"",IF(F44&gt;0,D44*F44,D44*E44))</f>
        <v/>
      </c>
      <c r="I44" s="148"/>
      <c r="J44" s="140"/>
      <c r="L44" s="147" t="s">
        <v>179</v>
      </c>
      <c r="M44" s="228" t="str">
        <f t="shared" si="7"/>
        <v/>
      </c>
    </row>
    <row r="45" spans="1:13" s="63" customFormat="1" ht="20.100000000000001" customHeight="1">
      <c r="C45" s="66" t="s">
        <v>131</v>
      </c>
      <c r="D45" s="261"/>
      <c r="E45" s="106" t="str">
        <f>'PK AG_Brutto'!L40</f>
        <v/>
      </c>
      <c r="F45" s="263"/>
      <c r="G45" s="106" t="str">
        <f>IF(AND(E45="",F45=0),"",IF(F45&gt;0,D45*F45,D45*E45))</f>
        <v/>
      </c>
      <c r="I45" s="264"/>
      <c r="J45" s="140"/>
      <c r="M45" s="228" t="str">
        <f t="shared" si="7"/>
        <v/>
      </c>
    </row>
    <row r="46" spans="1:13" s="63" customFormat="1" ht="20.100000000000001" customHeight="1">
      <c r="D46" s="58"/>
      <c r="E46" s="65"/>
      <c r="F46" s="65"/>
      <c r="G46" s="65"/>
      <c r="H46" s="65"/>
      <c r="I46" s="64"/>
      <c r="M46" s="228" t="str">
        <f t="shared" ref="M46" si="8">IF(D46&gt;0,IF(E46="","Bitte Personalkosten in den folgenden Tabellenblättern eintragen",""),IF(E46="","","Stellenanteil -VZK oder Multiplikator für die Personalkosten eintragen"))</f>
        <v/>
      </c>
    </row>
    <row r="47" spans="1:13" s="61" customFormat="1" ht="20.100000000000001" customHeight="1">
      <c r="A47" s="60" t="s">
        <v>58</v>
      </c>
      <c r="C47" s="61" t="s">
        <v>5</v>
      </c>
      <c r="D47" s="171"/>
      <c r="E47" s="65"/>
      <c r="F47" s="65"/>
      <c r="G47" s="65"/>
      <c r="H47" s="62">
        <f>IF(M47="Fehler","Fehler",SUM(G48:G52))</f>
        <v>0</v>
      </c>
      <c r="I47" s="64"/>
      <c r="J47" s="141" t="str">
        <f>IF(SUM(I48:I52)=0,"",SUM(I48:I52))</f>
        <v/>
      </c>
      <c r="K47" s="142" t="s">
        <v>178</v>
      </c>
      <c r="L47" s="143" t="str">
        <f>IF('PK Zusammenfassung'!J47="","",Kalkulationsblatt!E$18/'PK Zusammenfassung'!J47)</f>
        <v/>
      </c>
      <c r="M47" s="228" t="str">
        <f>IF(COUNTBLANK(M48:M52)&lt;5,"Fehler","")</f>
        <v/>
      </c>
    </row>
    <row r="48" spans="1:13" s="63" customFormat="1" ht="20.100000000000001" customHeight="1">
      <c r="C48" s="262"/>
      <c r="D48" s="265"/>
      <c r="E48" s="106" t="str">
        <f>'PK AG_Brutto'!L43</f>
        <v/>
      </c>
      <c r="F48" s="263"/>
      <c r="G48" s="106" t="str">
        <f>IF(AND(E48="",F48=0),"",IF(F48&gt;0,D48*F48,D48*E48))</f>
        <v/>
      </c>
      <c r="I48" s="139">
        <f>D48</f>
        <v>0</v>
      </c>
      <c r="J48" s="140"/>
      <c r="M48" s="228" t="str">
        <f t="shared" ref="M48:M52" si="9">IF(D48&gt;0,IF(G48="","Bitte Personalkosten in den folgenden Tabellenblättern oder alternativ in Spalte F eintragen",""),IF(G48="","","Stellenanteil -VZK oder Multiplikator für die Personalkosten eintragen"))</f>
        <v/>
      </c>
    </row>
    <row r="49" spans="3:13" s="63" customFormat="1" ht="20.100000000000001" customHeight="1">
      <c r="C49" s="262"/>
      <c r="D49" s="261"/>
      <c r="E49" s="106" t="str">
        <f>'PK AG_Brutto'!L44</f>
        <v/>
      </c>
      <c r="F49" s="263"/>
      <c r="G49" s="106" t="str">
        <f>IF(AND(E49="",F49=0),"",IF(F49&gt;0,D49*F49,D49*E49))</f>
        <v/>
      </c>
      <c r="I49" s="139">
        <f>D49</f>
        <v>0</v>
      </c>
      <c r="J49" s="140"/>
      <c r="M49" s="228" t="str">
        <f t="shared" si="9"/>
        <v/>
      </c>
    </row>
    <row r="50" spans="3:13" s="63" customFormat="1" ht="20.100000000000001" customHeight="1">
      <c r="C50" s="262"/>
      <c r="D50" s="261"/>
      <c r="E50" s="106" t="str">
        <f>'PK AG_Brutto'!L45</f>
        <v/>
      </c>
      <c r="F50" s="263"/>
      <c r="G50" s="106" t="str">
        <f>IF(AND(E50="",F50=0),"",IF(F50&gt;0,D50*F50,D50*E50))</f>
        <v/>
      </c>
      <c r="I50" s="139">
        <f>D50</f>
        <v>0</v>
      </c>
      <c r="J50" s="140"/>
      <c r="M50" s="228" t="str">
        <f t="shared" si="9"/>
        <v/>
      </c>
    </row>
    <row r="51" spans="3:13" s="63" customFormat="1" ht="20.100000000000001" customHeight="1">
      <c r="C51" s="66" t="s">
        <v>208</v>
      </c>
      <c r="D51" s="261"/>
      <c r="E51" s="106" t="str">
        <f>'PK AG_Brutto'!L46</f>
        <v/>
      </c>
      <c r="F51" s="263"/>
      <c r="G51" s="106" t="str">
        <f>IF(AND(E51="",F51=0),"",IF(F51&gt;0,D51*F51,D51*E51))</f>
        <v/>
      </c>
      <c r="I51" s="264"/>
      <c r="J51" s="140"/>
      <c r="M51" s="228" t="str">
        <f t="shared" si="9"/>
        <v/>
      </c>
    </row>
    <row r="52" spans="3:13" s="63" customFormat="1" ht="20.100000000000001" customHeight="1">
      <c r="C52" s="66" t="s">
        <v>131</v>
      </c>
      <c r="D52" s="261"/>
      <c r="E52" s="106" t="str">
        <f>'PK AG_Brutto'!L47</f>
        <v/>
      </c>
      <c r="F52" s="263"/>
      <c r="G52" s="106" t="str">
        <f>IF(AND(E52="",F52=0),"",IF(F52&gt;0,D52*F52,D52*E52))</f>
        <v/>
      </c>
      <c r="I52" s="264"/>
      <c r="J52" s="140"/>
      <c r="M52" s="228" t="str">
        <f t="shared" si="9"/>
        <v/>
      </c>
    </row>
    <row r="53" spans="3:13" ht="10.5" customHeight="1"/>
    <row r="54" spans="3:13">
      <c r="H54" s="168">
        <f>SUM(H7:H52)</f>
        <v>0</v>
      </c>
    </row>
  </sheetData>
  <sheetProtection algorithmName="SHA-512" hashValue="xiH7Gb365NJUoLvYAC5wY156SlD/2rVSp6JGoq1TbFdC1PgYaSrDegz+5PSiZ92TqDnoXtgHEadxTCK78fm+4g==" saltValue="ZNvULDq9bhTzYMZUB6t9VQ==" spinCount="100000" sheet="1" objects="1" scenarios="1"/>
  <mergeCells count="8">
    <mergeCell ref="G5:G6"/>
    <mergeCell ref="D5:D6"/>
    <mergeCell ref="I5:L5"/>
    <mergeCell ref="K6:L6"/>
    <mergeCell ref="C5:C6"/>
    <mergeCell ref="E5:E6"/>
    <mergeCell ref="H5:H6"/>
    <mergeCell ref="F5:F6"/>
  </mergeCells>
  <conditionalFormatting sqref="C29:D30 F29:F30">
    <cfRule type="expression" dxfId="11" priority="4">
      <formula>$D$28&gt;0</formula>
    </cfRule>
  </conditionalFormatting>
  <conditionalFormatting sqref="C34:D36 F34:F38 D37:D38 I37:I38">
    <cfRule type="expression" dxfId="10" priority="2">
      <formula>$D$33&gt;0</formula>
    </cfRule>
  </conditionalFormatting>
  <conditionalFormatting sqref="E29:E30 G29:G30 I29:I30">
    <cfRule type="expression" dxfId="9" priority="3">
      <formula>$D$28&gt;0</formula>
    </cfRule>
  </conditionalFormatting>
  <conditionalFormatting sqref="I34:I36 E34:E38 G34:G38">
    <cfRule type="expression" dxfId="8" priority="1">
      <formula>$D$33&gt;0</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Footer xml:space="preserve">&amp;LDatum des Ausdrucks
&amp;D&amp;CKalkulationsdatei (Version 2.1) gemäß
Beschluss der Hess. Jugendhilfekommission
vom 20. März 2026&amp;RSeite &amp;P von &amp;N
 </oddFooter>
  </headerFooter>
  <rowBreaks count="1" manualBreakCount="1">
    <brk id="30" max="16383" man="1"/>
  </rowBreaks>
  <ignoredErrors>
    <ignoredError sqref="A47 A40 A32 A27 A19 A8"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D53"/>
  <sheetViews>
    <sheetView showGridLines="0" zoomScaleNormal="100" workbookViewId="0">
      <pane xSplit="8" ySplit="5" topLeftCell="I6" activePane="bottomRight" state="frozen"/>
      <selection pane="topRight" activeCell="I1" sqref="I1"/>
      <selection pane="bottomLeft" activeCell="A6" sqref="A6"/>
      <selection pane="bottomRight" activeCell="D9" sqref="D9"/>
    </sheetView>
  </sheetViews>
  <sheetFormatPr baseColWidth="10" defaultColWidth="11.44140625" defaultRowHeight="14.4"/>
  <cols>
    <col min="1" max="1" width="4.5546875" style="1" customWidth="1"/>
    <col min="2" max="2" width="2.88671875" style="1" hidden="1" customWidth="1"/>
    <col min="3" max="3" width="35.6640625" style="1" customWidth="1"/>
    <col min="4" max="4" width="10.109375" style="3" customWidth="1"/>
    <col min="5" max="5" width="7" style="68" customWidth="1"/>
    <col min="6" max="6" width="6.5546875" style="69" customWidth="1"/>
    <col min="7" max="7" width="1.33203125" style="69" customWidth="1"/>
    <col min="8" max="8" width="11.33203125" style="69" customWidth="1"/>
    <col min="9" max="9" width="11" style="69" customWidth="1"/>
    <col min="10" max="14" width="11.33203125" style="70" customWidth="1"/>
    <col min="15" max="16" width="10.88671875" style="70" customWidth="1"/>
    <col min="17" max="17" width="11.33203125" style="70" customWidth="1"/>
    <col min="18" max="18" width="13.109375" style="70" customWidth="1"/>
    <col min="19" max="19" width="1" style="70" customWidth="1"/>
    <col min="20" max="20" width="9.109375" style="1" customWidth="1"/>
    <col min="21" max="21" width="13.33203125" style="59" customWidth="1"/>
    <col min="22" max="22" width="7.88671875" style="1" customWidth="1"/>
    <col min="23" max="23" width="13.33203125" style="59" customWidth="1"/>
    <col min="24" max="24" width="15.44140625" style="1" customWidth="1"/>
    <col min="25" max="25" width="15.44140625" style="211" customWidth="1"/>
    <col min="26" max="26" width="14.6640625" style="1" customWidth="1"/>
    <col min="27" max="16384" width="11.44140625" style="1"/>
  </cols>
  <sheetData>
    <row r="1" spans="1:30">
      <c r="A1" s="4"/>
      <c r="B1" s="4"/>
    </row>
    <row r="2" spans="1:30" ht="17.399999999999999">
      <c r="A2" s="4"/>
      <c r="B2" s="4"/>
      <c r="K2" s="81" t="s">
        <v>129</v>
      </c>
    </row>
    <row r="3" spans="1:30" ht="15.6">
      <c r="A3" s="4"/>
      <c r="B3" s="4"/>
      <c r="K3" s="82" t="s">
        <v>240</v>
      </c>
    </row>
    <row r="4" spans="1:30">
      <c r="A4" s="4"/>
      <c r="B4" s="4"/>
    </row>
    <row r="5" spans="1:30" s="72" customFormat="1" ht="54.75" customHeight="1">
      <c r="A5" s="1"/>
      <c r="B5" s="1"/>
      <c r="C5" s="312" t="s">
        <v>132</v>
      </c>
      <c r="D5" s="314" t="s">
        <v>237</v>
      </c>
      <c r="E5" s="314" t="s">
        <v>8</v>
      </c>
      <c r="F5" s="316" t="s">
        <v>235</v>
      </c>
      <c r="G5" s="71"/>
      <c r="H5" s="318" t="s">
        <v>254</v>
      </c>
      <c r="I5" s="192" t="s">
        <v>210</v>
      </c>
      <c r="J5" s="318" t="s">
        <v>271</v>
      </c>
      <c r="K5" s="318" t="s">
        <v>156</v>
      </c>
      <c r="L5" s="78" t="s">
        <v>250</v>
      </c>
      <c r="M5" s="318" t="s">
        <v>268</v>
      </c>
      <c r="N5" s="318" t="s">
        <v>126</v>
      </c>
      <c r="O5" s="318" t="s">
        <v>125</v>
      </c>
      <c r="P5" s="79" t="s">
        <v>31</v>
      </c>
      <c r="Q5" s="320" t="s">
        <v>270</v>
      </c>
      <c r="R5" s="318" t="s">
        <v>236</v>
      </c>
      <c r="S5" s="151"/>
      <c r="T5" s="309" t="s">
        <v>242</v>
      </c>
      <c r="U5" s="309"/>
      <c r="V5" s="310" t="s">
        <v>130</v>
      </c>
      <c r="W5" s="310"/>
      <c r="X5" s="311" t="s">
        <v>231</v>
      </c>
      <c r="Y5" s="307" t="s">
        <v>232</v>
      </c>
      <c r="AA5" s="4"/>
      <c r="AB5" s="4"/>
      <c r="AC5" s="4"/>
      <c r="AD5" s="4"/>
    </row>
    <row r="6" spans="1:30" s="72" customFormat="1" ht="28.5" customHeight="1">
      <c r="A6" s="1"/>
      <c r="B6" s="1"/>
      <c r="C6" s="313"/>
      <c r="D6" s="315"/>
      <c r="E6" s="315"/>
      <c r="F6" s="317"/>
      <c r="G6" s="73"/>
      <c r="H6" s="319"/>
      <c r="I6" s="267"/>
      <c r="J6" s="319"/>
      <c r="K6" s="319"/>
      <c r="L6" s="124">
        <v>100</v>
      </c>
      <c r="M6" s="319"/>
      <c r="N6" s="319"/>
      <c r="O6" s="319"/>
      <c r="P6" s="124">
        <v>6.65</v>
      </c>
      <c r="Q6" s="321"/>
      <c r="R6" s="319"/>
      <c r="S6" s="150"/>
      <c r="T6" s="80" t="s">
        <v>128</v>
      </c>
      <c r="U6" s="77" t="s">
        <v>127</v>
      </c>
      <c r="V6" s="80" t="s">
        <v>128</v>
      </c>
      <c r="W6" s="77" t="s">
        <v>127</v>
      </c>
      <c r="X6" s="311"/>
      <c r="Y6" s="308"/>
    </row>
    <row r="7" spans="1:30" s="72" customFormat="1" ht="20.100000000000001" customHeight="1">
      <c r="A7" s="1"/>
      <c r="B7" s="1"/>
      <c r="C7" s="4"/>
      <c r="D7" s="233"/>
      <c r="E7" s="233"/>
      <c r="F7" s="234"/>
      <c r="G7" s="235"/>
      <c r="H7" s="236"/>
      <c r="I7" s="249"/>
      <c r="J7" s="236"/>
      <c r="K7" s="236"/>
      <c r="L7" s="237"/>
      <c r="M7" s="236"/>
      <c r="N7" s="236"/>
      <c r="O7" s="236"/>
      <c r="P7" s="237"/>
      <c r="Q7" s="236"/>
      <c r="R7" s="238"/>
      <c r="S7" s="238"/>
      <c r="T7" s="252"/>
      <c r="U7" s="253"/>
      <c r="V7" s="239"/>
      <c r="W7" s="240"/>
      <c r="X7" s="241"/>
      <c r="Y7" s="242"/>
    </row>
    <row r="8" spans="1:30" s="83" customFormat="1" ht="20.100000000000001" customHeight="1">
      <c r="A8" s="60" t="s">
        <v>53</v>
      </c>
      <c r="C8" s="61" t="s">
        <v>0</v>
      </c>
      <c r="D8" s="109"/>
      <c r="E8" s="110"/>
      <c r="F8" s="111"/>
      <c r="G8" s="111"/>
      <c r="H8" s="111"/>
      <c r="I8" s="111"/>
      <c r="J8" s="112"/>
      <c r="K8" s="112"/>
      <c r="L8" s="112"/>
      <c r="M8" s="112"/>
      <c r="N8" s="112"/>
      <c r="O8" s="112"/>
      <c r="P8" s="112"/>
      <c r="Q8" s="112"/>
      <c r="R8" s="250"/>
      <c r="S8" s="243"/>
      <c r="T8" s="244"/>
      <c r="U8" s="245"/>
      <c r="V8" s="244"/>
      <c r="W8" s="245"/>
      <c r="X8" s="244"/>
      <c r="Y8" s="246"/>
    </row>
    <row r="9" spans="1:30" s="63" customFormat="1" ht="20.100000000000001" customHeight="1">
      <c r="C9" s="66" t="str">
        <f>IF('PK Zusammenfassung'!C9=0,"",'PK Zusammenfassung'!C9)</f>
        <v/>
      </c>
      <c r="D9" s="268"/>
      <c r="E9" s="269"/>
      <c r="F9" s="270"/>
      <c r="G9" s="75"/>
      <c r="H9" s="271"/>
      <c r="I9" s="85" t="str">
        <f t="shared" ref="I9:I14" si="0">IF(H9&gt;0,ROUND(H9*$I$6,2),"")</f>
        <v/>
      </c>
      <c r="J9" s="85" t="str">
        <f t="shared" ref="J9:J17" si="1">IF(H9&gt;0,H9+I9,"")</f>
        <v/>
      </c>
      <c r="K9" s="271"/>
      <c r="L9" s="271"/>
      <c r="M9" s="271"/>
      <c r="N9" s="271"/>
      <c r="O9" s="104" t="str">
        <f>IF(J9="","",'PK Zeitzuschläge'!$M$38)</f>
        <v/>
      </c>
      <c r="P9" s="271"/>
      <c r="Q9" s="105" t="str">
        <f t="shared" ref="Q9:Q17" si="2">IF(SUM(J9:P9)=0,"",SUM(J9:P9))</f>
        <v/>
      </c>
      <c r="R9" s="105" t="str">
        <f>IF(Q9="","",ROUND(Q9*12,2))</f>
        <v/>
      </c>
      <c r="S9" s="85"/>
      <c r="T9" s="272"/>
      <c r="U9" s="106" t="str">
        <f t="shared" ref="U9:U14" si="3">IF(T9="","",ROUND(T9*Q9,2))</f>
        <v/>
      </c>
      <c r="V9" s="272"/>
      <c r="W9" s="106" t="str">
        <f>IF(V9&gt;0,ROUND(R9*V9,2),"")</f>
        <v/>
      </c>
      <c r="X9" s="210" t="str">
        <f>IF(SUM(W9,U9,R9)&gt;0,SUM(W9,U9,R9),"")</f>
        <v/>
      </c>
      <c r="Y9" s="212" t="str">
        <f>IF(X9="","",ROUND(X9/12,2))</f>
        <v/>
      </c>
    </row>
    <row r="10" spans="1:30" s="63" customFormat="1" ht="20.100000000000001" customHeight="1">
      <c r="C10" s="66" t="str">
        <f>IF('PK Zusammenfassung'!C10=0,"",'PK Zusammenfassung'!C10)</f>
        <v/>
      </c>
      <c r="D10" s="268"/>
      <c r="E10" s="269"/>
      <c r="F10" s="270"/>
      <c r="G10" s="75"/>
      <c r="H10" s="271"/>
      <c r="I10" s="85" t="str">
        <f t="shared" si="0"/>
        <v/>
      </c>
      <c r="J10" s="85" t="str">
        <f t="shared" si="1"/>
        <v/>
      </c>
      <c r="K10" s="271"/>
      <c r="L10" s="271"/>
      <c r="M10" s="271"/>
      <c r="N10" s="271"/>
      <c r="O10" s="104" t="str">
        <f>IF(J10="","",'PK Zeitzuschläge'!$M$38)</f>
        <v/>
      </c>
      <c r="P10" s="271"/>
      <c r="Q10" s="105" t="str">
        <f t="shared" si="2"/>
        <v/>
      </c>
      <c r="R10" s="105" t="str">
        <f t="shared" ref="R10:R17" si="4">IF(Q10="","",ROUND(Q10*12,2))</f>
        <v/>
      </c>
      <c r="S10" s="85"/>
      <c r="T10" s="272"/>
      <c r="U10" s="106" t="str">
        <f t="shared" si="3"/>
        <v/>
      </c>
      <c r="V10" s="272"/>
      <c r="W10" s="106" t="str">
        <f t="shared" ref="W10:W14" si="5">IF(V10&gt;0,ROUND(R10*V10,2),"")</f>
        <v/>
      </c>
      <c r="X10" s="210" t="str">
        <f t="shared" ref="X10:X17" si="6">IF(SUM(W10,U10,R10)&gt;0,SUM(W10,U10,R10),"")</f>
        <v/>
      </c>
      <c r="Y10" s="212" t="str">
        <f t="shared" ref="Y10:Y17" si="7">IF(X10="","",ROUND(X10/12,2))</f>
        <v/>
      </c>
    </row>
    <row r="11" spans="1:30" s="63" customFormat="1" ht="20.100000000000001" customHeight="1">
      <c r="C11" s="66" t="str">
        <f>IF('PK Zusammenfassung'!C11=0,"",'PK Zusammenfassung'!C11)</f>
        <v/>
      </c>
      <c r="D11" s="268"/>
      <c r="E11" s="269"/>
      <c r="F11" s="270"/>
      <c r="G11" s="75"/>
      <c r="H11" s="271"/>
      <c r="I11" s="85" t="str">
        <f t="shared" si="0"/>
        <v/>
      </c>
      <c r="J11" s="85" t="str">
        <f t="shared" si="1"/>
        <v/>
      </c>
      <c r="K11" s="271"/>
      <c r="L11" s="271"/>
      <c r="M11" s="271"/>
      <c r="N11" s="271"/>
      <c r="O11" s="104" t="str">
        <f>IF(J11="","",'PK Zeitzuschläge'!$M$38)</f>
        <v/>
      </c>
      <c r="P11" s="271"/>
      <c r="Q11" s="105" t="str">
        <f t="shared" si="2"/>
        <v/>
      </c>
      <c r="R11" s="105" t="str">
        <f t="shared" si="4"/>
        <v/>
      </c>
      <c r="S11" s="85"/>
      <c r="T11" s="272"/>
      <c r="U11" s="106" t="str">
        <f t="shared" si="3"/>
        <v/>
      </c>
      <c r="V11" s="272"/>
      <c r="W11" s="106" t="str">
        <f t="shared" si="5"/>
        <v/>
      </c>
      <c r="X11" s="210" t="str">
        <f t="shared" si="6"/>
        <v/>
      </c>
      <c r="Y11" s="212" t="str">
        <f t="shared" si="7"/>
        <v/>
      </c>
    </row>
    <row r="12" spans="1:30" s="63" customFormat="1" ht="20.100000000000001" customHeight="1">
      <c r="C12" s="66" t="str">
        <f>IF('PK Zusammenfassung'!C12=0,"",'PK Zusammenfassung'!C12)</f>
        <v/>
      </c>
      <c r="D12" s="268"/>
      <c r="E12" s="269"/>
      <c r="F12" s="270"/>
      <c r="G12" s="75"/>
      <c r="H12" s="271"/>
      <c r="I12" s="85" t="str">
        <f t="shared" si="0"/>
        <v/>
      </c>
      <c r="J12" s="85" t="str">
        <f t="shared" si="1"/>
        <v/>
      </c>
      <c r="K12" s="271"/>
      <c r="L12" s="271"/>
      <c r="M12" s="271"/>
      <c r="N12" s="271"/>
      <c r="O12" s="104" t="str">
        <f>IF(J12="","",'PK Zeitzuschläge'!$M$38)</f>
        <v/>
      </c>
      <c r="P12" s="271"/>
      <c r="Q12" s="105" t="str">
        <f t="shared" si="2"/>
        <v/>
      </c>
      <c r="R12" s="105" t="str">
        <f t="shared" si="4"/>
        <v/>
      </c>
      <c r="S12" s="85"/>
      <c r="T12" s="272"/>
      <c r="U12" s="106" t="str">
        <f t="shared" si="3"/>
        <v/>
      </c>
      <c r="V12" s="272"/>
      <c r="W12" s="106" t="str">
        <f t="shared" si="5"/>
        <v/>
      </c>
      <c r="X12" s="210" t="str">
        <f t="shared" si="6"/>
        <v/>
      </c>
      <c r="Y12" s="212" t="str">
        <f t="shared" si="7"/>
        <v/>
      </c>
    </row>
    <row r="13" spans="1:30" s="63" customFormat="1" ht="20.100000000000001" customHeight="1">
      <c r="C13" s="66" t="str">
        <f>IF('PK Zusammenfassung'!C13=0,"",'PK Zusammenfassung'!C13)</f>
        <v/>
      </c>
      <c r="D13" s="268"/>
      <c r="E13" s="269"/>
      <c r="F13" s="270"/>
      <c r="G13" s="75"/>
      <c r="H13" s="271"/>
      <c r="I13" s="85" t="str">
        <f t="shared" si="0"/>
        <v/>
      </c>
      <c r="J13" s="85" t="str">
        <f t="shared" si="1"/>
        <v/>
      </c>
      <c r="K13" s="271"/>
      <c r="L13" s="271"/>
      <c r="M13" s="271"/>
      <c r="N13" s="271"/>
      <c r="O13" s="104" t="str">
        <f>IF(J13="","",'PK Zeitzuschläge'!$M$38)</f>
        <v/>
      </c>
      <c r="P13" s="271"/>
      <c r="Q13" s="105" t="str">
        <f t="shared" si="2"/>
        <v/>
      </c>
      <c r="R13" s="105" t="str">
        <f t="shared" ref="R13" si="8">IF(Q13="","",ROUND(Q13*12,2))</f>
        <v/>
      </c>
      <c r="S13" s="85"/>
      <c r="T13" s="272"/>
      <c r="U13" s="106" t="str">
        <f t="shared" si="3"/>
        <v/>
      </c>
      <c r="V13" s="272"/>
      <c r="W13" s="106" t="str">
        <f t="shared" si="5"/>
        <v/>
      </c>
      <c r="X13" s="210" t="str">
        <f t="shared" ref="X13" si="9">IF(SUM(W13,U13,R13)&gt;0,SUM(W13,U13,R13),"")</f>
        <v/>
      </c>
      <c r="Y13" s="212" t="str">
        <f t="shared" ref="Y13" si="10">IF(X13="","",ROUND(X13/12,2))</f>
        <v/>
      </c>
    </row>
    <row r="14" spans="1:30" s="63" customFormat="1" ht="20.100000000000001" customHeight="1">
      <c r="C14" s="66" t="str">
        <f>IF('PK Zusammenfassung'!C14=0,"",'PK Zusammenfassung'!C14)</f>
        <v>Praktikanten</v>
      </c>
      <c r="D14" s="268"/>
      <c r="E14" s="269"/>
      <c r="F14" s="270"/>
      <c r="G14" s="75"/>
      <c r="H14" s="271"/>
      <c r="I14" s="85" t="str">
        <f t="shared" si="0"/>
        <v/>
      </c>
      <c r="J14" s="85" t="str">
        <f t="shared" si="1"/>
        <v/>
      </c>
      <c r="K14" s="271"/>
      <c r="L14" s="271"/>
      <c r="M14" s="271"/>
      <c r="N14" s="271"/>
      <c r="O14" s="166"/>
      <c r="P14" s="271"/>
      <c r="Q14" s="105" t="str">
        <f t="shared" si="2"/>
        <v/>
      </c>
      <c r="R14" s="105" t="str">
        <f t="shared" si="4"/>
        <v/>
      </c>
      <c r="S14" s="85"/>
      <c r="T14" s="272"/>
      <c r="U14" s="106" t="str">
        <f t="shared" si="3"/>
        <v/>
      </c>
      <c r="V14" s="272"/>
      <c r="W14" s="106" t="str">
        <f t="shared" si="5"/>
        <v/>
      </c>
      <c r="X14" s="210" t="str">
        <f t="shared" si="6"/>
        <v/>
      </c>
      <c r="Y14" s="212" t="str">
        <f t="shared" si="7"/>
        <v/>
      </c>
    </row>
    <row r="15" spans="1:30" s="63" customFormat="1" ht="20.100000000000001" customHeight="1">
      <c r="C15" s="66" t="str">
        <f>IF('PK Zusammenfassung'!C15=0,"",'PK Zusammenfassung'!C15)</f>
        <v>MiniJob</v>
      </c>
      <c r="D15" s="268"/>
      <c r="E15" s="269"/>
      <c r="F15" s="270"/>
      <c r="G15" s="75"/>
      <c r="H15" s="271"/>
      <c r="I15" s="161"/>
      <c r="J15" s="85" t="str">
        <f t="shared" si="1"/>
        <v/>
      </c>
      <c r="K15" s="161"/>
      <c r="L15" s="161"/>
      <c r="M15" s="161"/>
      <c r="N15" s="161"/>
      <c r="O15" s="166"/>
      <c r="P15" s="161"/>
      <c r="Q15" s="105" t="str">
        <f t="shared" si="2"/>
        <v/>
      </c>
      <c r="R15" s="105" t="str">
        <f t="shared" si="4"/>
        <v/>
      </c>
      <c r="S15" s="85"/>
      <c r="T15" s="163"/>
      <c r="U15" s="164"/>
      <c r="V15" s="165"/>
      <c r="W15" s="164"/>
      <c r="X15" s="210" t="str">
        <f t="shared" si="6"/>
        <v/>
      </c>
      <c r="Y15" s="212" t="str">
        <f t="shared" si="7"/>
        <v/>
      </c>
    </row>
    <row r="16" spans="1:30" s="63" customFormat="1" ht="20.100000000000001" customHeight="1">
      <c r="C16" s="66" t="str">
        <f>IF('PK Zusammenfassung'!C16=0,"",'PK Zusammenfassung'!C16)</f>
        <v>FSJ / BFD</v>
      </c>
      <c r="D16" s="268"/>
      <c r="E16" s="269"/>
      <c r="F16" s="270"/>
      <c r="G16" s="75"/>
      <c r="H16" s="271"/>
      <c r="I16" s="161"/>
      <c r="J16" s="85" t="str">
        <f t="shared" si="1"/>
        <v/>
      </c>
      <c r="K16" s="161"/>
      <c r="L16" s="161"/>
      <c r="M16" s="161"/>
      <c r="N16" s="161"/>
      <c r="O16" s="166"/>
      <c r="P16" s="161"/>
      <c r="Q16" s="105" t="str">
        <f t="shared" si="2"/>
        <v/>
      </c>
      <c r="R16" s="105" t="str">
        <f t="shared" si="4"/>
        <v/>
      </c>
      <c r="S16" s="85"/>
      <c r="T16" s="163"/>
      <c r="U16" s="164"/>
      <c r="V16" s="165"/>
      <c r="W16" s="164"/>
      <c r="X16" s="210" t="str">
        <f t="shared" si="6"/>
        <v/>
      </c>
      <c r="Y16" s="212" t="str">
        <f t="shared" si="7"/>
        <v/>
      </c>
    </row>
    <row r="17" spans="1:25" s="63" customFormat="1" ht="20.100000000000001" customHeight="1">
      <c r="C17" s="66" t="str">
        <f>IF('PK Zusammenfassung'!C17=0,"",'PK Zusammenfassung'!C17)</f>
        <v>Honorare</v>
      </c>
      <c r="D17" s="268"/>
      <c r="E17" s="269"/>
      <c r="F17" s="270"/>
      <c r="G17" s="75"/>
      <c r="H17" s="271"/>
      <c r="I17" s="161"/>
      <c r="J17" s="85" t="str">
        <f t="shared" si="1"/>
        <v/>
      </c>
      <c r="K17" s="161"/>
      <c r="L17" s="161"/>
      <c r="M17" s="161"/>
      <c r="N17" s="161"/>
      <c r="O17" s="166"/>
      <c r="P17" s="161"/>
      <c r="Q17" s="105" t="str">
        <f t="shared" si="2"/>
        <v/>
      </c>
      <c r="R17" s="105" t="str">
        <f t="shared" si="4"/>
        <v/>
      </c>
      <c r="S17" s="85"/>
      <c r="T17" s="163"/>
      <c r="U17" s="164"/>
      <c r="V17" s="165"/>
      <c r="W17" s="164"/>
      <c r="X17" s="210" t="str">
        <f t="shared" si="6"/>
        <v/>
      </c>
      <c r="Y17" s="212" t="str">
        <f t="shared" si="7"/>
        <v/>
      </c>
    </row>
    <row r="18" spans="1:25" s="83" customFormat="1" ht="20.100000000000001" customHeight="1">
      <c r="A18" s="63"/>
      <c r="B18" s="63"/>
      <c r="C18" s="63"/>
      <c r="D18" s="109"/>
      <c r="E18" s="110"/>
      <c r="F18" s="111"/>
      <c r="G18" s="111"/>
      <c r="H18" s="111"/>
      <c r="I18" s="111"/>
      <c r="J18" s="112"/>
      <c r="K18" s="112"/>
      <c r="L18" s="112"/>
      <c r="M18" s="112"/>
      <c r="N18" s="112"/>
      <c r="O18" s="112"/>
      <c r="P18" s="112"/>
      <c r="Q18" s="112"/>
      <c r="R18" s="112"/>
      <c r="S18" s="112"/>
      <c r="T18" s="76"/>
      <c r="U18" s="65"/>
      <c r="V18" s="76"/>
      <c r="W18" s="65"/>
      <c r="X18" s="76"/>
      <c r="Y18" s="213"/>
    </row>
    <row r="19" spans="1:25" s="63" customFormat="1" ht="20.100000000000001" customHeight="1">
      <c r="A19" s="60" t="s">
        <v>54</v>
      </c>
      <c r="C19" s="61" t="s">
        <v>1</v>
      </c>
      <c r="D19" s="113"/>
      <c r="E19" s="114"/>
      <c r="F19" s="115"/>
      <c r="G19" s="115"/>
      <c r="H19" s="115"/>
      <c r="I19" s="115"/>
      <c r="J19" s="116"/>
      <c r="K19" s="116"/>
      <c r="L19" s="116"/>
      <c r="M19" s="116"/>
      <c r="N19" s="116"/>
      <c r="O19" s="116"/>
      <c r="P19" s="116"/>
      <c r="Q19" s="116"/>
      <c r="R19" s="116"/>
      <c r="S19" s="116"/>
      <c r="T19" s="117"/>
      <c r="U19" s="107"/>
      <c r="V19" s="117"/>
      <c r="W19" s="107"/>
      <c r="X19" s="107"/>
      <c r="Y19" s="214"/>
    </row>
    <row r="20" spans="1:25" s="63" customFormat="1" ht="20.100000000000001" customHeight="1">
      <c r="C20" s="66" t="str">
        <f>IF('PK Zusammenfassung'!C20=0,"",'PK Zusammenfassung'!C20)</f>
        <v/>
      </c>
      <c r="D20" s="273"/>
      <c r="E20" s="274"/>
      <c r="F20" s="275"/>
      <c r="G20" s="118"/>
      <c r="H20" s="276"/>
      <c r="I20" s="85" t="str">
        <f>IF(H20&gt;0,ROUND(H20*$I$6,2),"")</f>
        <v/>
      </c>
      <c r="J20" s="85" t="str">
        <f t="shared" ref="J20:J25" si="11">IF(H20&gt;0,H20+I20,"")</f>
        <v/>
      </c>
      <c r="K20" s="276"/>
      <c r="L20" s="276"/>
      <c r="M20" s="276"/>
      <c r="N20" s="276"/>
      <c r="O20" s="162"/>
      <c r="P20" s="276"/>
      <c r="Q20" s="105" t="str">
        <f t="shared" ref="Q20:Q25" si="12">IF(SUM(J20:P20)=0,"",SUM(J20:P20))</f>
        <v/>
      </c>
      <c r="R20" s="105" t="str">
        <f t="shared" ref="R20:R25" si="13">IF(Q20="","",ROUND(Q20*12,2))</f>
        <v/>
      </c>
      <c r="S20" s="119"/>
      <c r="T20" s="277"/>
      <c r="U20" s="106" t="str">
        <f>IF(T20="","",ROUND(T20*Q20,2))</f>
        <v/>
      </c>
      <c r="V20" s="272"/>
      <c r="W20" s="106" t="str">
        <f t="shared" ref="W20:W23" si="14">IF(V20&gt;0,ROUND(R20*V20,2),"")</f>
        <v/>
      </c>
      <c r="X20" s="106" t="str">
        <f t="shared" ref="X20:X25" si="15">IF(SUM(W20,U20,R20)&gt;0,SUM(W20,U20,R20),"")</f>
        <v/>
      </c>
      <c r="Y20" s="212" t="str">
        <f t="shared" ref="Y20:Y25" si="16">IF(X20="","",ROUND(X20/12,2))</f>
        <v/>
      </c>
    </row>
    <row r="21" spans="1:25" s="63" customFormat="1" ht="20.100000000000001" customHeight="1">
      <c r="C21" s="66" t="str">
        <f>IF('PK Zusammenfassung'!C21=0,"",'PK Zusammenfassung'!C21)</f>
        <v/>
      </c>
      <c r="D21" s="268"/>
      <c r="E21" s="269"/>
      <c r="F21" s="270"/>
      <c r="G21" s="75"/>
      <c r="H21" s="276"/>
      <c r="I21" s="85" t="str">
        <f>IF(H21&gt;0,ROUND(H21*$I$6,2),"")</f>
        <v/>
      </c>
      <c r="J21" s="85" t="str">
        <f t="shared" si="11"/>
        <v/>
      </c>
      <c r="K21" s="271"/>
      <c r="L21" s="271"/>
      <c r="M21" s="271"/>
      <c r="N21" s="271"/>
      <c r="O21" s="161"/>
      <c r="P21" s="271"/>
      <c r="Q21" s="105" t="str">
        <f t="shared" si="12"/>
        <v/>
      </c>
      <c r="R21" s="105" t="str">
        <f t="shared" si="13"/>
        <v/>
      </c>
      <c r="S21" s="85"/>
      <c r="T21" s="272"/>
      <c r="U21" s="106" t="str">
        <f>IF(T21="","",ROUND(T21*Q21,2))</f>
        <v/>
      </c>
      <c r="V21" s="272"/>
      <c r="W21" s="106" t="str">
        <f t="shared" si="14"/>
        <v/>
      </c>
      <c r="X21" s="106" t="str">
        <f t="shared" si="15"/>
        <v/>
      </c>
      <c r="Y21" s="212" t="str">
        <f t="shared" si="16"/>
        <v/>
      </c>
    </row>
    <row r="22" spans="1:25" s="63" customFormat="1" ht="20.100000000000001" customHeight="1">
      <c r="C22" s="66" t="str">
        <f>IF('PK Zusammenfassung'!C22=0,"",'PK Zusammenfassung'!C22)</f>
        <v/>
      </c>
      <c r="D22" s="268"/>
      <c r="E22" s="269"/>
      <c r="F22" s="270"/>
      <c r="G22" s="75"/>
      <c r="H22" s="276"/>
      <c r="I22" s="85" t="str">
        <f>IF(H22&gt;0,ROUND(H22*$I$6,2),"")</f>
        <v/>
      </c>
      <c r="J22" s="85" t="str">
        <f t="shared" si="11"/>
        <v/>
      </c>
      <c r="K22" s="271"/>
      <c r="L22" s="271"/>
      <c r="M22" s="271"/>
      <c r="N22" s="271"/>
      <c r="O22" s="161"/>
      <c r="P22" s="271"/>
      <c r="Q22" s="105" t="str">
        <f t="shared" si="12"/>
        <v/>
      </c>
      <c r="R22" s="105" t="str">
        <f t="shared" si="13"/>
        <v/>
      </c>
      <c r="S22" s="85"/>
      <c r="T22" s="272"/>
      <c r="U22" s="106" t="str">
        <f>IF(T22="","",ROUND(T22*Q22,2))</f>
        <v/>
      </c>
      <c r="V22" s="272"/>
      <c r="W22" s="106" t="str">
        <f t="shared" si="14"/>
        <v/>
      </c>
      <c r="X22" s="106" t="str">
        <f t="shared" si="15"/>
        <v/>
      </c>
      <c r="Y22" s="212" t="str">
        <f t="shared" si="16"/>
        <v/>
      </c>
    </row>
    <row r="23" spans="1:25" s="63" customFormat="1" ht="20.100000000000001" customHeight="1">
      <c r="C23" s="66" t="str">
        <f>IF('PK Zusammenfassung'!C23=0,"",'PK Zusammenfassung'!C23)</f>
        <v/>
      </c>
      <c r="D23" s="268"/>
      <c r="E23" s="269"/>
      <c r="F23" s="270"/>
      <c r="G23" s="75"/>
      <c r="H23" s="276"/>
      <c r="I23" s="85" t="str">
        <f>IF(H23&gt;0,ROUND(H23*$I$6,2),"")</f>
        <v/>
      </c>
      <c r="J23" s="85" t="str">
        <f t="shared" si="11"/>
        <v/>
      </c>
      <c r="K23" s="271"/>
      <c r="L23" s="271"/>
      <c r="M23" s="271"/>
      <c r="N23" s="271"/>
      <c r="O23" s="161"/>
      <c r="P23" s="271"/>
      <c r="Q23" s="105" t="str">
        <f t="shared" si="12"/>
        <v/>
      </c>
      <c r="R23" s="105" t="str">
        <f t="shared" si="13"/>
        <v/>
      </c>
      <c r="S23" s="85"/>
      <c r="T23" s="272"/>
      <c r="U23" s="106" t="str">
        <f>IF(T23="","",ROUND(T23*Q23,2))</f>
        <v/>
      </c>
      <c r="V23" s="272"/>
      <c r="W23" s="106" t="str">
        <f t="shared" si="14"/>
        <v/>
      </c>
      <c r="X23" s="106" t="str">
        <f t="shared" si="15"/>
        <v/>
      </c>
      <c r="Y23" s="212" t="str">
        <f t="shared" si="16"/>
        <v/>
      </c>
    </row>
    <row r="24" spans="1:25" s="63" customFormat="1" ht="20.100000000000001" customHeight="1">
      <c r="C24" s="66" t="str">
        <f>IF('PK Zusammenfassung'!C24=0,"",'PK Zusammenfassung'!C24)</f>
        <v>MiniJob</v>
      </c>
      <c r="D24" s="268"/>
      <c r="E24" s="269"/>
      <c r="F24" s="270"/>
      <c r="G24" s="75"/>
      <c r="H24" s="276"/>
      <c r="I24" s="161"/>
      <c r="J24" s="85" t="str">
        <f t="shared" si="11"/>
        <v/>
      </c>
      <c r="K24" s="161"/>
      <c r="L24" s="161"/>
      <c r="M24" s="161"/>
      <c r="N24" s="161"/>
      <c r="O24" s="166"/>
      <c r="P24" s="161"/>
      <c r="Q24" s="105" t="str">
        <f t="shared" si="12"/>
        <v/>
      </c>
      <c r="R24" s="105" t="str">
        <f t="shared" si="13"/>
        <v/>
      </c>
      <c r="S24" s="85"/>
      <c r="T24" s="163"/>
      <c r="U24" s="164"/>
      <c r="V24" s="165"/>
      <c r="W24" s="164"/>
      <c r="X24" s="106" t="str">
        <f t="shared" si="15"/>
        <v/>
      </c>
      <c r="Y24" s="212" t="str">
        <f t="shared" si="16"/>
        <v/>
      </c>
    </row>
    <row r="25" spans="1:25" s="63" customFormat="1" ht="20.100000000000001" customHeight="1">
      <c r="C25" s="66" t="str">
        <f>IF('PK Zusammenfassung'!C25=0,"",'PK Zusammenfassung'!C25)</f>
        <v>Honorare</v>
      </c>
      <c r="D25" s="268"/>
      <c r="E25" s="269"/>
      <c r="F25" s="270"/>
      <c r="G25" s="75"/>
      <c r="H25" s="276"/>
      <c r="I25" s="161"/>
      <c r="J25" s="85" t="str">
        <f t="shared" si="11"/>
        <v/>
      </c>
      <c r="K25" s="161"/>
      <c r="L25" s="161"/>
      <c r="M25" s="161"/>
      <c r="N25" s="161"/>
      <c r="O25" s="161"/>
      <c r="P25" s="161"/>
      <c r="Q25" s="105" t="str">
        <f t="shared" si="12"/>
        <v/>
      </c>
      <c r="R25" s="105" t="str">
        <f t="shared" si="13"/>
        <v/>
      </c>
      <c r="S25" s="85"/>
      <c r="T25" s="163"/>
      <c r="U25" s="164"/>
      <c r="V25" s="165"/>
      <c r="W25" s="164"/>
      <c r="X25" s="106" t="str">
        <f t="shared" si="15"/>
        <v/>
      </c>
      <c r="Y25" s="212" t="str">
        <f t="shared" si="16"/>
        <v/>
      </c>
    </row>
    <row r="26" spans="1:25" s="83" customFormat="1" ht="20.100000000000001" customHeight="1">
      <c r="A26" s="63"/>
      <c r="B26" s="63"/>
      <c r="C26" s="63"/>
      <c r="D26" s="120"/>
      <c r="E26" s="110"/>
      <c r="F26" s="111"/>
      <c r="G26" s="111"/>
      <c r="H26" s="111"/>
      <c r="I26" s="111"/>
      <c r="J26" s="112"/>
      <c r="K26" s="112"/>
      <c r="L26" s="112"/>
      <c r="M26" s="112"/>
      <c r="N26" s="112"/>
      <c r="O26" s="112"/>
      <c r="P26" s="112"/>
      <c r="Q26" s="112"/>
      <c r="R26" s="112"/>
      <c r="S26" s="112"/>
      <c r="T26" s="76"/>
      <c r="U26" s="65"/>
      <c r="V26" s="76"/>
      <c r="W26" s="65"/>
      <c r="X26" s="76"/>
      <c r="Y26" s="213"/>
    </row>
    <row r="27" spans="1:25" s="63" customFormat="1" ht="20.100000000000001" customHeight="1">
      <c r="A27" s="60" t="s">
        <v>55</v>
      </c>
      <c r="C27" s="61" t="s">
        <v>2</v>
      </c>
      <c r="D27" s="121"/>
      <c r="E27" s="68"/>
      <c r="F27" s="69"/>
      <c r="G27" s="69"/>
      <c r="H27" s="69"/>
      <c r="I27" s="69"/>
      <c r="J27" s="122"/>
      <c r="K27" s="122"/>
      <c r="L27" s="122"/>
      <c r="M27" s="122"/>
      <c r="N27" s="122"/>
      <c r="O27" s="122"/>
      <c r="P27" s="122"/>
      <c r="Q27" s="122"/>
      <c r="R27" s="122"/>
      <c r="S27" s="122"/>
      <c r="T27" s="123"/>
      <c r="U27" s="65"/>
      <c r="V27" s="123"/>
      <c r="W27" s="65"/>
      <c r="X27" s="65"/>
      <c r="Y27" s="214"/>
    </row>
    <row r="28" spans="1:25" s="63" customFormat="1" ht="20.100000000000001" customHeight="1">
      <c r="C28" s="66" t="str">
        <f>IF('PK Zusammenfassung'!C29=0,"",'PK Zusammenfassung'!C29)</f>
        <v/>
      </c>
      <c r="D28" s="268"/>
      <c r="E28" s="269"/>
      <c r="F28" s="270"/>
      <c r="G28" s="75"/>
      <c r="H28" s="271"/>
      <c r="I28" s="85" t="str">
        <f>IF(H28&gt;0,ROUND(H28*$I$6,2),"")</f>
        <v/>
      </c>
      <c r="J28" s="85" t="str">
        <f>IF(H28&gt;0,H28+I28,"")</f>
        <v/>
      </c>
      <c r="K28" s="271"/>
      <c r="L28" s="271"/>
      <c r="M28" s="271"/>
      <c r="N28" s="271"/>
      <c r="O28" s="161"/>
      <c r="P28" s="271"/>
      <c r="Q28" s="105" t="str">
        <f>IF(SUM(J28:P28)=0,"",SUM(J28:P28))</f>
        <v/>
      </c>
      <c r="R28" s="105" t="str">
        <f>IF(Q28="","",ROUND(Q28*12,2))</f>
        <v/>
      </c>
      <c r="S28" s="85"/>
      <c r="T28" s="272"/>
      <c r="U28" s="106" t="str">
        <f>IF(T28="","",ROUND(T28*Q28,2))</f>
        <v/>
      </c>
      <c r="V28" s="272"/>
      <c r="W28" s="106" t="str">
        <f t="shared" ref="W28:W29" si="17">IF(V28&gt;0,ROUND(R28*V28,2),"")</f>
        <v/>
      </c>
      <c r="X28" s="106" t="str">
        <f>IF(SUM(W28,U28,R28)&gt;0,SUM(W28,U28,R28),"")</f>
        <v/>
      </c>
      <c r="Y28" s="212" t="str">
        <f>IF(X28="","",ROUND(X28/12,2))</f>
        <v/>
      </c>
    </row>
    <row r="29" spans="1:25" s="63" customFormat="1" ht="20.100000000000001" customHeight="1">
      <c r="C29" s="66" t="str">
        <f>IF('PK Zusammenfassung'!C30=0,"",'PK Zusammenfassung'!C30)</f>
        <v/>
      </c>
      <c r="D29" s="268"/>
      <c r="E29" s="269"/>
      <c r="F29" s="270"/>
      <c r="G29" s="75"/>
      <c r="H29" s="271"/>
      <c r="I29" s="85" t="str">
        <f>IF(H29&gt;0,ROUND(H29*$I$6,2),"")</f>
        <v/>
      </c>
      <c r="J29" s="85" t="str">
        <f>IF(H29&gt;0,H29+I29,"")</f>
        <v/>
      </c>
      <c r="K29" s="271"/>
      <c r="L29" s="271"/>
      <c r="M29" s="271"/>
      <c r="N29" s="271"/>
      <c r="O29" s="161"/>
      <c r="P29" s="271"/>
      <c r="Q29" s="105" t="str">
        <f>IF(SUM(J29:P29)=0,"",SUM(J29:P29))</f>
        <v/>
      </c>
      <c r="R29" s="105" t="str">
        <f>IF(Q29="","",ROUND(Q29*12,2))</f>
        <v/>
      </c>
      <c r="S29" s="85"/>
      <c r="T29" s="272"/>
      <c r="U29" s="106" t="str">
        <f>IF(T29="","",ROUND(T29*Q29,2))</f>
        <v/>
      </c>
      <c r="V29" s="272"/>
      <c r="W29" s="106" t="str">
        <f t="shared" si="17"/>
        <v/>
      </c>
      <c r="X29" s="106" t="str">
        <f>IF(SUM(W29,U29,R29)&gt;0,SUM(W29,U29,R29),"")</f>
        <v/>
      </c>
      <c r="Y29" s="212" t="str">
        <f>IF(X29="","",ROUND(X29/12,2))</f>
        <v/>
      </c>
    </row>
    <row r="30" spans="1:25" s="63" customFormat="1" ht="20.100000000000001" customHeight="1">
      <c r="D30" s="121"/>
      <c r="E30" s="68"/>
      <c r="F30" s="69"/>
      <c r="G30" s="69"/>
      <c r="H30" s="69"/>
      <c r="I30" s="69"/>
      <c r="J30" s="122"/>
      <c r="K30" s="122"/>
      <c r="L30" s="122"/>
      <c r="M30" s="122"/>
      <c r="N30" s="122"/>
      <c r="O30" s="122"/>
      <c r="P30" s="122"/>
      <c r="Q30" s="122"/>
      <c r="R30" s="122"/>
      <c r="S30" s="122"/>
      <c r="T30" s="123"/>
      <c r="U30" s="65"/>
      <c r="V30" s="123"/>
      <c r="W30" s="65"/>
      <c r="X30" s="65"/>
      <c r="Y30" s="214"/>
    </row>
    <row r="31" spans="1:25" s="63" customFormat="1" ht="20.100000000000001" customHeight="1">
      <c r="A31" s="60" t="s">
        <v>56</v>
      </c>
      <c r="C31" s="61" t="s">
        <v>3</v>
      </c>
      <c r="D31" s="121"/>
      <c r="E31" s="68"/>
      <c r="F31" s="69"/>
      <c r="G31" s="69"/>
      <c r="H31" s="69"/>
      <c r="I31" s="69"/>
      <c r="J31" s="122"/>
      <c r="K31" s="122"/>
      <c r="L31" s="122"/>
      <c r="M31" s="122"/>
      <c r="N31" s="122"/>
      <c r="O31" s="122"/>
      <c r="P31" s="122"/>
      <c r="Q31" s="122"/>
      <c r="R31" s="122"/>
      <c r="S31" s="122"/>
      <c r="T31" s="123"/>
      <c r="U31" s="65"/>
      <c r="V31" s="123"/>
      <c r="W31" s="65"/>
      <c r="X31" s="65"/>
      <c r="Y31" s="214"/>
    </row>
    <row r="32" spans="1:25" s="63" customFormat="1" ht="20.100000000000001" customHeight="1">
      <c r="C32" s="66" t="str">
        <f>IF('PK Zusammenfassung'!C34=0,"",'PK Zusammenfassung'!C34)</f>
        <v/>
      </c>
      <c r="D32" s="268"/>
      <c r="E32" s="269"/>
      <c r="F32" s="270"/>
      <c r="G32" s="75"/>
      <c r="H32" s="271"/>
      <c r="I32" s="85" t="str">
        <f>IF(H32&gt;0,ROUND(H32*$I$6,2),"")</f>
        <v/>
      </c>
      <c r="J32" s="85" t="str">
        <f>IF(H32&gt;0,H32+I32,"")</f>
        <v/>
      </c>
      <c r="K32" s="271"/>
      <c r="L32" s="271"/>
      <c r="M32" s="271"/>
      <c r="N32" s="271"/>
      <c r="O32" s="161"/>
      <c r="P32" s="271"/>
      <c r="Q32" s="105" t="str">
        <f>IF(SUM(J32:P32)=0,"",SUM(J32:P32))</f>
        <v/>
      </c>
      <c r="R32" s="105" t="str">
        <f>IF(Q32="","",ROUND(Q32*12,2))</f>
        <v/>
      </c>
      <c r="S32" s="85"/>
      <c r="T32" s="272"/>
      <c r="U32" s="106" t="str">
        <f>IF(T32="","",ROUND(T32*Q32,2))</f>
        <v/>
      </c>
      <c r="V32" s="272"/>
      <c r="W32" s="106" t="str">
        <f t="shared" ref="W32:W34" si="18">IF(V32&gt;0,ROUND(R32*V32,2),"")</f>
        <v/>
      </c>
      <c r="X32" s="106" t="str">
        <f>IF(SUM(W32,U32,R32)&gt;0,SUM(W32,U32,R32),"")</f>
        <v/>
      </c>
      <c r="Y32" s="212" t="str">
        <f>IF(X32="","",ROUND(X32/12,2))</f>
        <v/>
      </c>
    </row>
    <row r="33" spans="1:25" s="83" customFormat="1" ht="20.100000000000001" customHeight="1">
      <c r="A33" s="63"/>
      <c r="B33" s="63"/>
      <c r="C33" s="66" t="str">
        <f>IF('PK Zusammenfassung'!C35=0,"",'PK Zusammenfassung'!C35)</f>
        <v/>
      </c>
      <c r="D33" s="268"/>
      <c r="E33" s="269"/>
      <c r="F33" s="270"/>
      <c r="G33" s="75"/>
      <c r="H33" s="271"/>
      <c r="I33" s="85" t="str">
        <f>IF(H33&gt;0,ROUND(H33*$I$6,2),"")</f>
        <v/>
      </c>
      <c r="J33" s="85" t="str">
        <f>IF(H33&gt;0,H33+I33,"")</f>
        <v/>
      </c>
      <c r="K33" s="271"/>
      <c r="L33" s="271"/>
      <c r="M33" s="271"/>
      <c r="N33" s="271"/>
      <c r="O33" s="161"/>
      <c r="P33" s="271"/>
      <c r="Q33" s="105" t="str">
        <f>IF(SUM(J33:P33)=0,"",SUM(J33:P33))</f>
        <v/>
      </c>
      <c r="R33" s="105" t="str">
        <f>IF(Q33="","",ROUND(Q33*12,2))</f>
        <v/>
      </c>
      <c r="S33" s="85"/>
      <c r="T33" s="272"/>
      <c r="U33" s="106" t="str">
        <f>IF(T33="","",ROUND(T33*Q33,2))</f>
        <v/>
      </c>
      <c r="V33" s="272"/>
      <c r="W33" s="106" t="str">
        <f t="shared" si="18"/>
        <v/>
      </c>
      <c r="X33" s="106" t="str">
        <f>IF(SUM(W33,U33,R33)&gt;0,SUM(W33,U33,R33),"")</f>
        <v/>
      </c>
      <c r="Y33" s="212" t="str">
        <f>IF(X33="","",ROUND(X33/12,2))</f>
        <v/>
      </c>
    </row>
    <row r="34" spans="1:25" s="83" customFormat="1" ht="20.100000000000001" customHeight="1">
      <c r="A34" s="63"/>
      <c r="B34" s="63"/>
      <c r="C34" s="66" t="str">
        <f>IF('PK Zusammenfassung'!C36=0,"",'PK Zusammenfassung'!C36)</f>
        <v/>
      </c>
      <c r="D34" s="268"/>
      <c r="E34" s="269"/>
      <c r="F34" s="270"/>
      <c r="G34" s="75"/>
      <c r="H34" s="271"/>
      <c r="I34" s="85" t="str">
        <f>IF(H34&gt;0,ROUND(H34*$I$6,2),"")</f>
        <v/>
      </c>
      <c r="J34" s="85" t="str">
        <f>IF(H34&gt;0,H34+I34,"")</f>
        <v/>
      </c>
      <c r="K34" s="271"/>
      <c r="L34" s="271"/>
      <c r="M34" s="271"/>
      <c r="N34" s="271"/>
      <c r="O34" s="161"/>
      <c r="P34" s="271"/>
      <c r="Q34" s="105" t="str">
        <f>IF(SUM(J34:P34)=0,"",SUM(J34:P34))</f>
        <v/>
      </c>
      <c r="R34" s="105" t="str">
        <f>IF(Q34="","",ROUND(Q34*12,2))</f>
        <v/>
      </c>
      <c r="S34" s="85"/>
      <c r="T34" s="272"/>
      <c r="U34" s="106" t="str">
        <f>IF(T34="","",ROUND(T34*Q34,2))</f>
        <v/>
      </c>
      <c r="V34" s="272"/>
      <c r="W34" s="106" t="str">
        <f t="shared" si="18"/>
        <v/>
      </c>
      <c r="X34" s="106" t="str">
        <f>IF(SUM(W34,U34,R34)&gt;0,SUM(W34,U34,R34),"")</f>
        <v/>
      </c>
      <c r="Y34" s="212" t="str">
        <f>IF(X34="","",ROUND(X34/12,2))</f>
        <v/>
      </c>
    </row>
    <row r="35" spans="1:25" s="63" customFormat="1" ht="20.100000000000001" customHeight="1">
      <c r="C35" s="66" t="str">
        <f>IF('PK Zusammenfassung'!C37=0,"",'PK Zusammenfassung'!C37)</f>
        <v>MiniJob</v>
      </c>
      <c r="D35" s="268"/>
      <c r="E35" s="269"/>
      <c r="F35" s="270"/>
      <c r="G35" s="75"/>
      <c r="H35" s="271"/>
      <c r="I35" s="161"/>
      <c r="J35" s="85" t="str">
        <f>IF(H35&gt;0,H35+I35,"")</f>
        <v/>
      </c>
      <c r="K35" s="161"/>
      <c r="L35" s="161"/>
      <c r="M35" s="161"/>
      <c r="N35" s="161"/>
      <c r="O35" s="166"/>
      <c r="P35" s="161"/>
      <c r="Q35" s="105" t="str">
        <f>IF(SUM(J35:P35)=0,"",SUM(J35:P35))</f>
        <v/>
      </c>
      <c r="R35" s="105" t="str">
        <f>IF(Q35="","",ROUND(Q35*12,2))</f>
        <v/>
      </c>
      <c r="S35" s="85"/>
      <c r="T35" s="163"/>
      <c r="U35" s="164"/>
      <c r="V35" s="165"/>
      <c r="W35" s="164"/>
      <c r="X35" s="106" t="str">
        <f>IF(SUM(W35,U35,R35)&gt;0,SUM(W35,U35,R35),"")</f>
        <v/>
      </c>
      <c r="Y35" s="212" t="str">
        <f>IF(X35="","",ROUND(X35/12,2))</f>
        <v/>
      </c>
    </row>
    <row r="36" spans="1:25" s="63" customFormat="1" ht="20.100000000000001" customHeight="1">
      <c r="C36" s="66" t="str">
        <f>IF('PK Zusammenfassung'!C38=0,"",'PK Zusammenfassung'!C38)</f>
        <v>Honorare</v>
      </c>
      <c r="D36" s="268"/>
      <c r="E36" s="269"/>
      <c r="F36" s="270"/>
      <c r="G36" s="75"/>
      <c r="H36" s="271"/>
      <c r="I36" s="161"/>
      <c r="J36" s="85" t="str">
        <f>IF(H36&gt;0,H36+I36,"")</f>
        <v/>
      </c>
      <c r="K36" s="161"/>
      <c r="L36" s="161"/>
      <c r="M36" s="161"/>
      <c r="N36" s="161"/>
      <c r="O36" s="161"/>
      <c r="P36" s="161"/>
      <c r="Q36" s="105" t="str">
        <f>IF(SUM(J36:P36)=0,"",SUM(J36:P36))</f>
        <v/>
      </c>
      <c r="R36" s="105" t="str">
        <f>IF(Q36="","",ROUND(Q36*12,2))</f>
        <v/>
      </c>
      <c r="S36" s="85"/>
      <c r="T36" s="163"/>
      <c r="U36" s="164"/>
      <c r="V36" s="165"/>
      <c r="W36" s="164"/>
      <c r="X36" s="106" t="str">
        <f>IF(SUM(W36,U36,R36)&gt;0,SUM(W36,U36,R36),"")</f>
        <v/>
      </c>
      <c r="Y36" s="212" t="str">
        <f>IF(X36="","",ROUND(X36/12,2))</f>
        <v/>
      </c>
    </row>
    <row r="37" spans="1:25" s="63" customFormat="1" ht="20.100000000000001" customHeight="1">
      <c r="D37" s="121"/>
      <c r="E37" s="68"/>
      <c r="F37" s="69"/>
      <c r="G37" s="69"/>
      <c r="H37" s="69"/>
      <c r="I37" s="69"/>
      <c r="J37" s="122"/>
      <c r="K37" s="122"/>
      <c r="L37" s="122"/>
      <c r="M37" s="122"/>
      <c r="N37" s="122"/>
      <c r="O37" s="122"/>
      <c r="P37" s="122"/>
      <c r="Q37" s="122"/>
      <c r="R37" s="122"/>
      <c r="S37" s="122"/>
      <c r="T37" s="123"/>
      <c r="U37" s="65"/>
      <c r="V37" s="123"/>
      <c r="W37" s="65"/>
      <c r="X37" s="65"/>
      <c r="Y37" s="214"/>
    </row>
    <row r="38" spans="1:25" s="63" customFormat="1" ht="20.100000000000001" customHeight="1">
      <c r="A38" s="60" t="s">
        <v>57</v>
      </c>
      <c r="C38" s="61" t="s">
        <v>4</v>
      </c>
      <c r="D38" s="113"/>
      <c r="E38" s="114"/>
      <c r="F38" s="115"/>
      <c r="G38" s="115"/>
      <c r="H38" s="115"/>
      <c r="I38" s="115"/>
      <c r="J38" s="116"/>
      <c r="K38" s="116"/>
      <c r="L38" s="116"/>
      <c r="M38" s="116"/>
      <c r="N38" s="116"/>
      <c r="O38" s="116"/>
      <c r="P38" s="116"/>
      <c r="Q38" s="116"/>
      <c r="R38" s="116"/>
      <c r="S38" s="116"/>
      <c r="T38" s="117"/>
      <c r="U38" s="107"/>
      <c r="V38" s="117"/>
      <c r="W38" s="107"/>
      <c r="X38" s="107"/>
      <c r="Y38" s="214"/>
    </row>
    <row r="39" spans="1:25" s="63" customFormat="1" ht="20.100000000000001" customHeight="1">
      <c r="C39" s="66" t="str">
        <f>IF('PK Zusammenfassung'!C41=0,"",'PK Zusammenfassung'!C41)</f>
        <v/>
      </c>
      <c r="D39" s="273"/>
      <c r="E39" s="274"/>
      <c r="F39" s="275"/>
      <c r="G39" s="118"/>
      <c r="H39" s="276"/>
      <c r="I39" s="85" t="str">
        <f>IF(H39&gt;0,ROUND(H39*$I$6,2),"")</f>
        <v/>
      </c>
      <c r="J39" s="85" t="str">
        <f>IF(H39&gt;0,H39+I39,"")</f>
        <v/>
      </c>
      <c r="K39" s="276"/>
      <c r="L39" s="276"/>
      <c r="M39" s="276"/>
      <c r="N39" s="276"/>
      <c r="O39" s="162"/>
      <c r="P39" s="276"/>
      <c r="Q39" s="105" t="str">
        <f>IF(SUM(J39:P39)=0,"",SUM(J39:P39))</f>
        <v/>
      </c>
      <c r="R39" s="105" t="str">
        <f>IF(Q39="","",ROUND(Q39*12,2))</f>
        <v/>
      </c>
      <c r="S39" s="119"/>
      <c r="T39" s="277"/>
      <c r="U39" s="106" t="str">
        <f>IF(T39="","",ROUND(T39*Q39,2))</f>
        <v/>
      </c>
      <c r="V39" s="272"/>
      <c r="W39" s="106" t="str">
        <f t="shared" ref="W39:W40" si="19">IF(V39&gt;0,ROUND(R39*V39,2),"")</f>
        <v/>
      </c>
      <c r="X39" s="106" t="str">
        <f>IF(SUM(W39,U39,R39)&gt;0,SUM(W39,U39,R39),"")</f>
        <v/>
      </c>
      <c r="Y39" s="212" t="str">
        <f>IF(X39="","",ROUND(X39/12,2))</f>
        <v/>
      </c>
    </row>
    <row r="40" spans="1:25" s="63" customFormat="1" ht="20.100000000000001" customHeight="1">
      <c r="C40" s="66" t="str">
        <f>IF('PK Zusammenfassung'!C42=0,"",'PK Zusammenfassung'!C42)</f>
        <v/>
      </c>
      <c r="D40" s="268"/>
      <c r="E40" s="269"/>
      <c r="F40" s="270"/>
      <c r="G40" s="75"/>
      <c r="H40" s="271"/>
      <c r="I40" s="85" t="str">
        <f>IF(H40&gt;0,ROUND(H40*$I$6,2),"")</f>
        <v/>
      </c>
      <c r="J40" s="85" t="str">
        <f>IF(H40&gt;0,H40+I40,"")</f>
        <v/>
      </c>
      <c r="K40" s="271"/>
      <c r="L40" s="271"/>
      <c r="M40" s="271"/>
      <c r="N40" s="271"/>
      <c r="O40" s="161"/>
      <c r="P40" s="271"/>
      <c r="Q40" s="105" t="str">
        <f>IF(SUM(J40:P40)=0,"",SUM(J40:P40))</f>
        <v/>
      </c>
      <c r="R40" s="105" t="str">
        <f>IF(Q40="","",ROUND(Q40*12,2))</f>
        <v/>
      </c>
      <c r="S40" s="85"/>
      <c r="T40" s="272"/>
      <c r="U40" s="106" t="str">
        <f>IF(T40="","",ROUND(T40*Q40,2))</f>
        <v/>
      </c>
      <c r="V40" s="272"/>
      <c r="W40" s="106" t="str">
        <f t="shared" si="19"/>
        <v/>
      </c>
      <c r="X40" s="106" t="str">
        <f>IF(SUM(W40,U40,R40)&gt;0,SUM(W40,U40,R40),"")</f>
        <v/>
      </c>
      <c r="Y40" s="212" t="str">
        <f>IF(X40="","",ROUND(X40/12,2))</f>
        <v/>
      </c>
    </row>
    <row r="41" spans="1:25" s="83" customFormat="1" ht="20.100000000000001" customHeight="1">
      <c r="A41" s="63"/>
      <c r="B41" s="63"/>
      <c r="C41" s="66" t="str">
        <f>IF('PK Zusammenfassung'!C43=0,"",'PK Zusammenfassung'!C43)</f>
        <v>MiniJob</v>
      </c>
      <c r="D41" s="268"/>
      <c r="E41" s="269"/>
      <c r="F41" s="270"/>
      <c r="G41" s="75"/>
      <c r="H41" s="271"/>
      <c r="I41" s="161"/>
      <c r="J41" s="85" t="str">
        <f>IF(H41&gt;0,H41+I41,"")</f>
        <v/>
      </c>
      <c r="K41" s="161"/>
      <c r="L41" s="161"/>
      <c r="M41" s="161"/>
      <c r="N41" s="161"/>
      <c r="O41" s="166"/>
      <c r="P41" s="161"/>
      <c r="Q41" s="105" t="str">
        <f>IF(SUM(J41:P41)=0,"",SUM(J41:P41))</f>
        <v/>
      </c>
      <c r="R41" s="105" t="str">
        <f>IF(Q41="","",ROUND(Q41*12,2))</f>
        <v/>
      </c>
      <c r="S41" s="85"/>
      <c r="T41" s="163"/>
      <c r="U41" s="164"/>
      <c r="V41" s="165"/>
      <c r="W41" s="164"/>
      <c r="X41" s="106" t="str">
        <f>IF(SUM(W41,U41,R41)&gt;0,SUM(W41,U41,R41),"")</f>
        <v/>
      </c>
      <c r="Y41" s="212" t="str">
        <f>IF(X41="","",ROUND(X41/12,2))</f>
        <v/>
      </c>
    </row>
    <row r="42" spans="1:25" s="63" customFormat="1" ht="20.100000000000001" customHeight="1">
      <c r="C42" s="66" t="str">
        <f>IF('PK Zusammenfassung'!C44=0,"",'PK Zusammenfassung'!C44)</f>
        <v>FSJ / BFD</v>
      </c>
      <c r="D42" s="268"/>
      <c r="E42" s="269"/>
      <c r="F42" s="270"/>
      <c r="G42" s="75"/>
      <c r="H42" s="271"/>
      <c r="I42" s="161"/>
      <c r="J42" s="85" t="str">
        <f>IF(H42&gt;0,H42+I42,"")</f>
        <v/>
      </c>
      <c r="K42" s="161"/>
      <c r="L42" s="161"/>
      <c r="M42" s="161"/>
      <c r="N42" s="161"/>
      <c r="O42" s="161"/>
      <c r="P42" s="161"/>
      <c r="Q42" s="105" t="str">
        <f>IF(SUM(J42:P42)=0,"",SUM(J42:P42))</f>
        <v/>
      </c>
      <c r="R42" s="105" t="str">
        <f>IF(Q42="","",ROUND(Q42*12,2))</f>
        <v/>
      </c>
      <c r="S42" s="85"/>
      <c r="T42" s="163"/>
      <c r="U42" s="164"/>
      <c r="V42" s="165"/>
      <c r="W42" s="164"/>
      <c r="X42" s="106" t="str">
        <f>IF(SUM(W42,U42,R42)&gt;0,SUM(W42,U42,R42),"")</f>
        <v/>
      </c>
      <c r="Y42" s="212" t="str">
        <f>IF(X42="","",ROUND(X42/12,2))</f>
        <v/>
      </c>
    </row>
    <row r="43" spans="1:25" s="63" customFormat="1" ht="20.100000000000001" customHeight="1">
      <c r="C43" s="66" t="str">
        <f>IF('PK Zusammenfassung'!C45=0,"",'PK Zusammenfassung'!C45)</f>
        <v>Honorare</v>
      </c>
      <c r="D43" s="268"/>
      <c r="E43" s="269"/>
      <c r="F43" s="270"/>
      <c r="G43" s="75"/>
      <c r="H43" s="271"/>
      <c r="I43" s="161"/>
      <c r="J43" s="85" t="str">
        <f>IF(H43&gt;0,H43+I43,"")</f>
        <v/>
      </c>
      <c r="K43" s="161"/>
      <c r="L43" s="161"/>
      <c r="M43" s="161"/>
      <c r="N43" s="161"/>
      <c r="O43" s="161"/>
      <c r="P43" s="161"/>
      <c r="Q43" s="105" t="str">
        <f>IF(SUM(J43:P43)=0,"",SUM(J43:P43))</f>
        <v/>
      </c>
      <c r="R43" s="105" t="str">
        <f>IF(Q43="","",ROUND(Q43*12,2))</f>
        <v/>
      </c>
      <c r="S43" s="85"/>
      <c r="T43" s="163"/>
      <c r="U43" s="164"/>
      <c r="V43" s="165"/>
      <c r="W43" s="164"/>
      <c r="X43" s="106" t="str">
        <f>IF(SUM(W43,U43,R43)&gt;0,SUM(W43,U43,R43),"")</f>
        <v/>
      </c>
      <c r="Y43" s="212" t="str">
        <f>IF(X43="","",ROUND(X43/12,2))</f>
        <v/>
      </c>
    </row>
    <row r="44" spans="1:25" s="63" customFormat="1" ht="20.100000000000001" customHeight="1">
      <c r="Y44" s="215"/>
    </row>
    <row r="45" spans="1:25" s="63" customFormat="1" ht="20.100000000000001" customHeight="1">
      <c r="A45" s="60" t="s">
        <v>58</v>
      </c>
      <c r="C45" s="61" t="s">
        <v>5</v>
      </c>
      <c r="Y45" s="215"/>
    </row>
    <row r="46" spans="1:25" s="63" customFormat="1" ht="20.100000000000001" customHeight="1">
      <c r="C46" s="66" t="str">
        <f>IF('PK Zusammenfassung'!C48=0,"",'PK Zusammenfassung'!C48)</f>
        <v/>
      </c>
      <c r="D46" s="268"/>
      <c r="E46" s="269"/>
      <c r="F46" s="270"/>
      <c r="G46" s="75"/>
      <c r="H46" s="271"/>
      <c r="I46" s="85" t="str">
        <f>IF(H46&gt;0,ROUND(H46*$I$6,2),"")</f>
        <v/>
      </c>
      <c r="J46" s="85" t="str">
        <f>IF(H46&gt;0,H46+I46,"")</f>
        <v/>
      </c>
      <c r="K46" s="271"/>
      <c r="L46" s="271"/>
      <c r="M46" s="271"/>
      <c r="N46" s="271"/>
      <c r="O46" s="161"/>
      <c r="P46" s="271"/>
      <c r="Q46" s="105" t="str">
        <f>IF(SUM(J46:P46)=0,"",SUM(J46:P46))</f>
        <v/>
      </c>
      <c r="R46" s="105" t="str">
        <f>IF(Q46="","",ROUND(Q46*12,2))</f>
        <v/>
      </c>
      <c r="S46" s="85"/>
      <c r="T46" s="272"/>
      <c r="U46" s="106" t="str">
        <f>IF(T46="","",ROUND(T46*Q46,2))</f>
        <v/>
      </c>
      <c r="V46" s="272"/>
      <c r="W46" s="106" t="str">
        <f t="shared" ref="W46:W48" si="20">IF(V46&gt;0,ROUND(R46*V46,2),"")</f>
        <v/>
      </c>
      <c r="X46" s="106" t="str">
        <f>IF(SUM(W46,U46,R46)&gt;0,SUM(W46,U46,R46),"")</f>
        <v/>
      </c>
      <c r="Y46" s="212" t="str">
        <f>IF(X46="","",ROUND(X46/12,2))</f>
        <v/>
      </c>
    </row>
    <row r="47" spans="1:25" s="63" customFormat="1" ht="20.100000000000001" customHeight="1">
      <c r="C47" s="66" t="str">
        <f>IF('PK Zusammenfassung'!C49=0,"",'PK Zusammenfassung'!C49)</f>
        <v/>
      </c>
      <c r="D47" s="268"/>
      <c r="E47" s="269"/>
      <c r="F47" s="270"/>
      <c r="G47" s="75"/>
      <c r="H47" s="271"/>
      <c r="I47" s="85" t="str">
        <f>IF(H47&gt;0,ROUND(H47*$I$6,2),"")</f>
        <v/>
      </c>
      <c r="J47" s="85" t="str">
        <f>IF(H47&gt;0,H47+I47,"")</f>
        <v/>
      </c>
      <c r="K47" s="271"/>
      <c r="L47" s="271"/>
      <c r="M47" s="271"/>
      <c r="N47" s="271"/>
      <c r="O47" s="161"/>
      <c r="P47" s="271"/>
      <c r="Q47" s="105" t="str">
        <f>IF(SUM(J47:P47)=0,"",SUM(J47:P47))</f>
        <v/>
      </c>
      <c r="R47" s="105" t="str">
        <f>IF(Q47="","",ROUND(Q47*12,2))</f>
        <v/>
      </c>
      <c r="S47" s="85"/>
      <c r="T47" s="272"/>
      <c r="U47" s="106" t="str">
        <f>IF(T47="","",ROUND(T47*Q47,2))</f>
        <v/>
      </c>
      <c r="V47" s="272"/>
      <c r="W47" s="106" t="str">
        <f t="shared" si="20"/>
        <v/>
      </c>
      <c r="X47" s="106" t="str">
        <f>IF(SUM(W47,U47,R47)&gt;0,SUM(W47,U47,R47),"")</f>
        <v/>
      </c>
      <c r="Y47" s="212" t="str">
        <f>IF(X47="","",ROUND(X47/12,2))</f>
        <v/>
      </c>
    </row>
    <row r="48" spans="1:25" s="63" customFormat="1" ht="20.100000000000001" customHeight="1">
      <c r="C48" s="66" t="str">
        <f>IF('PK Zusammenfassung'!C50=0,"",'PK Zusammenfassung'!C50)</f>
        <v/>
      </c>
      <c r="D48" s="268"/>
      <c r="E48" s="269"/>
      <c r="F48" s="270"/>
      <c r="G48" s="75"/>
      <c r="H48" s="271"/>
      <c r="I48" s="85" t="str">
        <f>IF(H48&gt;0,ROUND(H48*$I$6,2),"")</f>
        <v/>
      </c>
      <c r="J48" s="85" t="str">
        <f>IF(H48&gt;0,H48+I48,"")</f>
        <v/>
      </c>
      <c r="K48" s="271"/>
      <c r="L48" s="271"/>
      <c r="M48" s="271"/>
      <c r="N48" s="271"/>
      <c r="O48" s="161"/>
      <c r="P48" s="271"/>
      <c r="Q48" s="105" t="str">
        <f>IF(SUM(J48:P48)=0,"",SUM(J48:P48))</f>
        <v/>
      </c>
      <c r="R48" s="105" t="str">
        <f>IF(Q48="","",ROUND(Q48*12,2))</f>
        <v/>
      </c>
      <c r="S48" s="85"/>
      <c r="T48" s="272"/>
      <c r="U48" s="106" t="str">
        <f>IF(T48="","",ROUND(T48*Q48,2))</f>
        <v/>
      </c>
      <c r="V48" s="272"/>
      <c r="W48" s="106" t="str">
        <f t="shared" si="20"/>
        <v/>
      </c>
      <c r="X48" s="106" t="str">
        <f>IF(SUM(W48,U48,R48)&gt;0,SUM(W48,U48,R48),"")</f>
        <v/>
      </c>
      <c r="Y48" s="212" t="str">
        <f>IF(X48="","",ROUND(X48/12,2))</f>
        <v/>
      </c>
    </row>
    <row r="49" spans="1:25" s="108" customFormat="1" ht="20.100000000000001" customHeight="1">
      <c r="A49" s="63"/>
      <c r="B49" s="63"/>
      <c r="C49" s="66" t="str">
        <f>IF('PK Zusammenfassung'!C51=0,"",'PK Zusammenfassung'!C51)</f>
        <v>MiniJob</v>
      </c>
      <c r="D49" s="268"/>
      <c r="E49" s="269"/>
      <c r="F49" s="270"/>
      <c r="G49" s="75"/>
      <c r="H49" s="271"/>
      <c r="I49" s="161"/>
      <c r="J49" s="85" t="str">
        <f>IF(H49&gt;0,H49+I49,"")</f>
        <v/>
      </c>
      <c r="K49" s="271"/>
      <c r="L49" s="271"/>
      <c r="M49" s="271"/>
      <c r="N49" s="271"/>
      <c r="O49" s="161"/>
      <c r="P49" s="271"/>
      <c r="Q49" s="105" t="str">
        <f>IF(SUM(J49:P49)=0,"",SUM(J49:P49))</f>
        <v/>
      </c>
      <c r="R49" s="105" t="str">
        <f>IF(Q49="","",ROUND(Q49*12,2))</f>
        <v/>
      </c>
      <c r="S49" s="85"/>
      <c r="T49" s="163"/>
      <c r="U49" s="164"/>
      <c r="V49" s="165"/>
      <c r="W49" s="164"/>
      <c r="X49" s="106" t="str">
        <f>IF(SUM(W49,U49,R49)&gt;0,SUM(W49,U49,R49),"")</f>
        <v/>
      </c>
      <c r="Y49" s="212" t="str">
        <f>IF(X49="","",ROUND(X49/12,2))</f>
        <v/>
      </c>
    </row>
    <row r="50" spans="1:25" s="108" customFormat="1" ht="20.100000000000001" customHeight="1">
      <c r="A50" s="63"/>
      <c r="B50" s="63"/>
      <c r="C50" s="66" t="str">
        <f>IF('PK Zusammenfassung'!C52=0,"",'PK Zusammenfassung'!C52)</f>
        <v>Honorare</v>
      </c>
      <c r="D50" s="268"/>
      <c r="E50" s="269"/>
      <c r="F50" s="270"/>
      <c r="G50" s="75"/>
      <c r="H50" s="271"/>
      <c r="I50" s="161"/>
      <c r="J50" s="85" t="str">
        <f>IF(H50&gt;0,H50+I50,"")</f>
        <v/>
      </c>
      <c r="K50" s="161"/>
      <c r="L50" s="161"/>
      <c r="M50" s="161"/>
      <c r="N50" s="161"/>
      <c r="O50" s="161"/>
      <c r="P50" s="161"/>
      <c r="Q50" s="105" t="str">
        <f>IF(SUM(J50:P50)=0,"",SUM(J50:P50))</f>
        <v/>
      </c>
      <c r="R50" s="105" t="str">
        <f>IF(Q50="","",ROUND(Q50*12,2))</f>
        <v/>
      </c>
      <c r="S50" s="85"/>
      <c r="T50" s="163"/>
      <c r="U50" s="164"/>
      <c r="V50" s="165"/>
      <c r="W50" s="164"/>
      <c r="X50" s="106" t="str">
        <f>IF(SUM(W50,U50,R50)&gt;0,SUM(W50,U50,R50),"")</f>
        <v/>
      </c>
      <c r="Y50" s="212" t="str">
        <f>IF(X50="","",ROUND(X50/12,2))</f>
        <v/>
      </c>
    </row>
    <row r="51" spans="1:25" ht="20.100000000000001" customHeight="1"/>
    <row r="52" spans="1:25" s="74" customFormat="1" ht="20.100000000000001" customHeight="1">
      <c r="A52" s="1"/>
      <c r="B52" s="1"/>
      <c r="C52" s="1"/>
      <c r="D52" s="3"/>
      <c r="E52" s="68"/>
      <c r="F52" s="69"/>
      <c r="G52" s="69"/>
      <c r="H52" s="69"/>
      <c r="I52" s="69"/>
      <c r="J52" s="70"/>
      <c r="K52" s="70"/>
      <c r="L52" s="70"/>
      <c r="M52" s="70"/>
      <c r="N52" s="70"/>
      <c r="O52" s="70"/>
      <c r="P52" s="70"/>
      <c r="Q52" s="70"/>
      <c r="R52" s="70"/>
      <c r="S52" s="70"/>
      <c r="T52" s="1"/>
      <c r="U52" s="59"/>
      <c r="V52" s="1"/>
      <c r="W52" s="59"/>
      <c r="X52" s="1"/>
      <c r="Y52" s="211"/>
    </row>
    <row r="53" spans="1:25" ht="20.100000000000001" customHeight="1"/>
  </sheetData>
  <mergeCells count="16">
    <mergeCell ref="Y5:Y6"/>
    <mergeCell ref="T5:U5"/>
    <mergeCell ref="V5:W5"/>
    <mergeCell ref="X5:X6"/>
    <mergeCell ref="C5:C6"/>
    <mergeCell ref="D5:D6"/>
    <mergeCell ref="E5:E6"/>
    <mergeCell ref="F5:F6"/>
    <mergeCell ref="J5:J6"/>
    <mergeCell ref="M5:M6"/>
    <mergeCell ref="O5:O6"/>
    <mergeCell ref="K5:K6"/>
    <mergeCell ref="Q5:Q6"/>
    <mergeCell ref="N5:N6"/>
    <mergeCell ref="R5:R6"/>
    <mergeCell ref="H5:H6"/>
  </mergeCells>
  <pageMargins left="0.23622047244094491" right="0.23622047244094491" top="0.74803149606299213" bottom="0.74803149606299213" header="0.31496062992125984" footer="0.31496062992125984"/>
  <pageSetup paperSize="9" scale="80" fitToWidth="2" fitToHeight="0" orientation="landscape" r:id="rId1"/>
  <headerFooter>
    <oddFooter>&amp;LDatum des Ausdrucks
&amp;D&amp;CKalkulationsdatei (Version 2.1) gemäß
Beschluss der Hess. Jugendhilfekommission
vom 20. März 2026&amp;R Seite &amp;P von &amp;N</oddFooter>
  </headerFooter>
  <rowBreaks count="1" manualBreakCount="1">
    <brk id="25" max="16383" man="1"/>
  </rowBreaks>
  <ignoredErrors>
    <ignoredError sqref="A27 A31 A38 A45 A8 A19" numberStoredAsText="1"/>
  </ignoredErrors>
  <legacyDrawing r:id="rId2"/>
  <extLst>
    <ext xmlns:x14="http://schemas.microsoft.com/office/spreadsheetml/2009/9/main" uri="{78C0D931-6437-407d-A8EE-F0AAD7539E65}">
      <x14:conditionalFormattings>
        <x14:conditionalFormatting xmlns:xm="http://schemas.microsoft.com/office/excel/2006/main">
          <x14:cfRule type="expression" priority="3" id="{FAD0093F-0090-479F-8458-70145FA1D3E1}">
            <xm:f>'PK Zusammenfassung'!$D$28&gt;0</xm:f>
            <x14:dxf>
              <font>
                <color theme="0"/>
              </font>
            </x14:dxf>
          </x14:cfRule>
          <xm:sqref>C28:C29 I28:J29 Q28:R29 U28:U29 W28:Y29</xm:sqref>
        </x14:conditionalFormatting>
        <x14:conditionalFormatting xmlns:xm="http://schemas.microsoft.com/office/excel/2006/main">
          <x14:cfRule type="expression" priority="1" id="{E3DEDABB-79EC-4491-948F-28A23BAC78E1}">
            <xm:f>'PK Zusammenfassung'!$D$33&gt;0</xm:f>
            <x14:dxf>
              <font>
                <color theme="0"/>
              </font>
            </x14:dxf>
          </x14:cfRule>
          <xm:sqref>C32:C34 I32:J34 U32:U34 W32:W34 Q32:R36 X32:Y36 J35:J36</xm:sqref>
        </x14:conditionalFormatting>
        <x14:conditionalFormatting xmlns:xm="http://schemas.microsoft.com/office/excel/2006/main">
          <x14:cfRule type="expression" priority="4" id="{0031F226-5D5B-4A11-9BF1-35A501AB461B}">
            <xm:f>'PK Zusammenfassung'!$D$28&gt;0</xm:f>
            <x14:dxf>
              <font>
                <color theme="8" tint="0.79998168889431442"/>
              </font>
            </x14:dxf>
          </x14:cfRule>
          <xm:sqref>D28:F29 H28:H29 K28:N29 P28:P29 T28:T29 V28:V29</xm:sqref>
        </x14:conditionalFormatting>
        <x14:conditionalFormatting xmlns:xm="http://schemas.microsoft.com/office/excel/2006/main">
          <x14:cfRule type="expression" priority="2" id="{46C1A6EF-C1B3-4300-98F0-037539E30352}">
            <xm:f>'PK Zusammenfassung'!$D$33&gt;0</xm:f>
            <x14:dxf>
              <font>
                <color theme="8" tint="0.79998168889431442"/>
              </font>
            </x14:dxf>
          </x14:cfRule>
          <xm:sqref>K32:N34 P32:P34 T32:T34 V32:V34 D32:F36 H32:H36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2:N52"/>
  <sheetViews>
    <sheetView showGridLines="0" zoomScaleNormal="100" workbookViewId="0">
      <selection activeCell="B5" sqref="B5"/>
    </sheetView>
  </sheetViews>
  <sheetFormatPr baseColWidth="10" defaultColWidth="11.44140625" defaultRowHeight="13.8"/>
  <cols>
    <col min="1" max="1" width="5" style="1" customWidth="1"/>
    <col min="2" max="2" width="32.44140625" style="1" customWidth="1"/>
    <col min="3" max="4" width="11.5546875" style="1" bestFit="1" customWidth="1"/>
    <col min="5" max="5" width="11.88671875" style="1" hidden="1" customWidth="1"/>
    <col min="6" max="6" width="14.88671875" style="1" customWidth="1"/>
    <col min="7" max="7" width="13.33203125" style="1" customWidth="1"/>
    <col min="8" max="8" width="13" style="1" customWidth="1"/>
    <col min="9" max="10" width="10.33203125" style="1" customWidth="1"/>
    <col min="11" max="11" width="14.44140625" style="1" bestFit="1" customWidth="1"/>
    <col min="12" max="12" width="9.44140625" style="1" customWidth="1"/>
    <col min="13" max="13" width="15.5546875" style="1" bestFit="1" customWidth="1"/>
    <col min="14" max="16384" width="11.44140625" style="1"/>
  </cols>
  <sheetData>
    <row r="2" spans="2:14" ht="20.100000000000001" customHeight="1">
      <c r="B2" s="88"/>
      <c r="C2" s="88"/>
      <c r="D2" s="88"/>
      <c r="E2" s="88"/>
      <c r="F2" s="90"/>
      <c r="I2" s="91"/>
      <c r="J2" s="91"/>
      <c r="K2" s="92"/>
      <c r="M2" s="92"/>
    </row>
    <row r="3" spans="2:14" ht="20.100000000000001" customHeight="1">
      <c r="B3" s="89" t="s">
        <v>142</v>
      </c>
      <c r="C3" s="413" t="s">
        <v>140</v>
      </c>
      <c r="D3" s="413"/>
      <c r="E3" s="66"/>
      <c r="F3" s="412" t="s">
        <v>141</v>
      </c>
      <c r="G3" s="413" t="s">
        <v>144</v>
      </c>
      <c r="H3" s="413"/>
      <c r="I3" s="410" t="s">
        <v>148</v>
      </c>
      <c r="J3" s="410" t="s">
        <v>228</v>
      </c>
      <c r="K3" s="413" t="s">
        <v>127</v>
      </c>
      <c r="L3" s="414" t="s">
        <v>133</v>
      </c>
      <c r="M3" s="412" t="s">
        <v>9</v>
      </c>
    </row>
    <row r="4" spans="2:14" ht="20.100000000000001" customHeight="1">
      <c r="C4" s="96" t="s">
        <v>146</v>
      </c>
      <c r="D4" s="96" t="s">
        <v>147</v>
      </c>
      <c r="E4" s="66"/>
      <c r="F4" s="412"/>
      <c r="G4" s="95" t="s">
        <v>143</v>
      </c>
      <c r="H4" s="95" t="s">
        <v>145</v>
      </c>
      <c r="I4" s="411"/>
      <c r="J4" s="411"/>
      <c r="K4" s="413"/>
      <c r="L4" s="414"/>
      <c r="M4" s="412"/>
    </row>
    <row r="5" spans="2:14" ht="20.100000000000001" customHeight="1">
      <c r="B5" s="262"/>
      <c r="C5" s="278"/>
      <c r="D5" s="278"/>
      <c r="E5" s="98">
        <f t="shared" ref="E5" si="0">24-C5+D5</f>
        <v>24</v>
      </c>
      <c r="F5" s="84">
        <f t="shared" ref="F5:F23" si="1">HOUR(E5)+MINUTE(E5)/60</f>
        <v>0</v>
      </c>
      <c r="G5" s="279"/>
      <c r="H5" s="280"/>
      <c r="I5" s="262"/>
      <c r="J5" s="66" t="str">
        <f t="shared" ref="J5:J23" si="2">IF(I5&gt;0,F5*I5,"")</f>
        <v/>
      </c>
      <c r="K5" s="97" t="str">
        <f>IF(J5="","",IF(AND(G5&gt;0,H5&gt;0),"FEHLER",IF(G5&gt;0,G5*J5,$H$35*H5*J5)))</f>
        <v/>
      </c>
      <c r="L5" s="281"/>
      <c r="M5" s="221" t="str">
        <f t="shared" ref="M5:M23" si="3">IF(K5="","",K5*L5)</f>
        <v/>
      </c>
      <c r="N5" s="232" t="str">
        <f>IF(K5="","",IF(K5="FEHLER","Sie dürfen in den Spalten G und H entweder nur einen Eurobetrag oder einen Prozentwert pro Zeile angeben",""))</f>
        <v/>
      </c>
    </row>
    <row r="6" spans="2:14" ht="20.100000000000001" customHeight="1">
      <c r="B6" s="262"/>
      <c r="C6" s="278"/>
      <c r="D6" s="278"/>
      <c r="E6" s="98">
        <f t="shared" ref="E6:E23" si="4">24-C6+D6</f>
        <v>24</v>
      </c>
      <c r="F6" s="84">
        <f t="shared" si="1"/>
        <v>0</v>
      </c>
      <c r="G6" s="279"/>
      <c r="H6" s="280"/>
      <c r="I6" s="262"/>
      <c r="J6" s="66" t="str">
        <f t="shared" si="2"/>
        <v/>
      </c>
      <c r="K6" s="97" t="str">
        <f t="shared" ref="K6:K23" si="5">IF(J6="","",IF(AND(G6&gt;0,H6&gt;0),"FEHLER",IF(G6&gt;0,G6*J6,$H$35*H6*J6)))</f>
        <v/>
      </c>
      <c r="L6" s="281"/>
      <c r="M6" s="221" t="str">
        <f t="shared" si="3"/>
        <v/>
      </c>
      <c r="N6" s="232" t="str">
        <f t="shared" ref="N6:N23" si="6">IF(K6="","",IF(K6="FEHLER","Sie dürfen in den Spalten G und H entweder nur einen Eurobetrag oder einen Prozentwert pro Zeile angeben",""))</f>
        <v/>
      </c>
    </row>
    <row r="7" spans="2:14" ht="20.100000000000001" customHeight="1">
      <c r="B7" s="262"/>
      <c r="C7" s="278"/>
      <c r="D7" s="278"/>
      <c r="E7" s="98">
        <f t="shared" si="4"/>
        <v>24</v>
      </c>
      <c r="F7" s="84">
        <f t="shared" si="1"/>
        <v>0</v>
      </c>
      <c r="G7" s="279"/>
      <c r="H7" s="280"/>
      <c r="I7" s="262"/>
      <c r="J7" s="66" t="str">
        <f t="shared" si="2"/>
        <v/>
      </c>
      <c r="K7" s="97" t="str">
        <f t="shared" si="5"/>
        <v/>
      </c>
      <c r="L7" s="281"/>
      <c r="M7" s="221" t="str">
        <f t="shared" si="3"/>
        <v/>
      </c>
      <c r="N7" s="232" t="str">
        <f t="shared" si="6"/>
        <v/>
      </c>
    </row>
    <row r="8" spans="2:14" ht="20.100000000000001" customHeight="1">
      <c r="B8" s="262"/>
      <c r="C8" s="278"/>
      <c r="D8" s="278"/>
      <c r="E8" s="98">
        <f t="shared" si="4"/>
        <v>24</v>
      </c>
      <c r="F8" s="84">
        <f t="shared" si="1"/>
        <v>0</v>
      </c>
      <c r="G8" s="279"/>
      <c r="H8" s="280"/>
      <c r="I8" s="262"/>
      <c r="J8" s="66" t="str">
        <f t="shared" si="2"/>
        <v/>
      </c>
      <c r="K8" s="97" t="str">
        <f t="shared" si="5"/>
        <v/>
      </c>
      <c r="L8" s="281"/>
      <c r="M8" s="221" t="str">
        <f t="shared" si="3"/>
        <v/>
      </c>
      <c r="N8" s="232" t="str">
        <f t="shared" si="6"/>
        <v/>
      </c>
    </row>
    <row r="9" spans="2:14" ht="20.100000000000001" customHeight="1">
      <c r="B9" s="262"/>
      <c r="C9" s="278"/>
      <c r="D9" s="278"/>
      <c r="E9" s="98">
        <f t="shared" si="4"/>
        <v>24</v>
      </c>
      <c r="F9" s="84">
        <f t="shared" si="1"/>
        <v>0</v>
      </c>
      <c r="G9" s="279"/>
      <c r="H9" s="280"/>
      <c r="I9" s="262"/>
      <c r="J9" s="66" t="str">
        <f t="shared" si="2"/>
        <v/>
      </c>
      <c r="K9" s="97" t="str">
        <f t="shared" si="5"/>
        <v/>
      </c>
      <c r="L9" s="281"/>
      <c r="M9" s="221" t="str">
        <f t="shared" si="3"/>
        <v/>
      </c>
      <c r="N9" s="232" t="str">
        <f t="shared" si="6"/>
        <v/>
      </c>
    </row>
    <row r="10" spans="2:14" ht="20.100000000000001" customHeight="1">
      <c r="B10" s="262"/>
      <c r="C10" s="278"/>
      <c r="D10" s="278"/>
      <c r="E10" s="98">
        <f t="shared" si="4"/>
        <v>24</v>
      </c>
      <c r="F10" s="84">
        <f t="shared" si="1"/>
        <v>0</v>
      </c>
      <c r="G10" s="279"/>
      <c r="H10" s="280"/>
      <c r="I10" s="262"/>
      <c r="J10" s="66" t="str">
        <f t="shared" si="2"/>
        <v/>
      </c>
      <c r="K10" s="97" t="str">
        <f t="shared" si="5"/>
        <v/>
      </c>
      <c r="L10" s="281"/>
      <c r="M10" s="221" t="str">
        <f t="shared" si="3"/>
        <v/>
      </c>
      <c r="N10" s="232" t="str">
        <f t="shared" si="6"/>
        <v/>
      </c>
    </row>
    <row r="11" spans="2:14" ht="20.100000000000001" customHeight="1">
      <c r="B11" s="262"/>
      <c r="C11" s="278"/>
      <c r="D11" s="278"/>
      <c r="E11" s="98">
        <f t="shared" si="4"/>
        <v>24</v>
      </c>
      <c r="F11" s="84">
        <f t="shared" si="1"/>
        <v>0</v>
      </c>
      <c r="G11" s="279"/>
      <c r="H11" s="280"/>
      <c r="I11" s="262"/>
      <c r="J11" s="66" t="str">
        <f t="shared" si="2"/>
        <v/>
      </c>
      <c r="K11" s="97" t="str">
        <f t="shared" si="5"/>
        <v/>
      </c>
      <c r="L11" s="281"/>
      <c r="M11" s="221" t="str">
        <f t="shared" si="3"/>
        <v/>
      </c>
      <c r="N11" s="232" t="str">
        <f t="shared" si="6"/>
        <v/>
      </c>
    </row>
    <row r="12" spans="2:14" ht="20.100000000000001" customHeight="1">
      <c r="B12" s="262"/>
      <c r="C12" s="278"/>
      <c r="D12" s="278"/>
      <c r="E12" s="98">
        <f t="shared" si="4"/>
        <v>24</v>
      </c>
      <c r="F12" s="84">
        <f t="shared" si="1"/>
        <v>0</v>
      </c>
      <c r="G12" s="279"/>
      <c r="H12" s="280"/>
      <c r="I12" s="262"/>
      <c r="J12" s="66" t="str">
        <f t="shared" si="2"/>
        <v/>
      </c>
      <c r="K12" s="97" t="str">
        <f t="shared" si="5"/>
        <v/>
      </c>
      <c r="L12" s="281"/>
      <c r="M12" s="221" t="str">
        <f t="shared" si="3"/>
        <v/>
      </c>
      <c r="N12" s="232" t="str">
        <f t="shared" si="6"/>
        <v/>
      </c>
    </row>
    <row r="13" spans="2:14" ht="20.100000000000001" customHeight="1">
      <c r="B13" s="262"/>
      <c r="C13" s="278"/>
      <c r="D13" s="278"/>
      <c r="E13" s="98">
        <f t="shared" si="4"/>
        <v>24</v>
      </c>
      <c r="F13" s="84">
        <f t="shared" si="1"/>
        <v>0</v>
      </c>
      <c r="G13" s="279"/>
      <c r="H13" s="280"/>
      <c r="I13" s="262"/>
      <c r="J13" s="66" t="str">
        <f t="shared" si="2"/>
        <v/>
      </c>
      <c r="K13" s="97" t="str">
        <f t="shared" si="5"/>
        <v/>
      </c>
      <c r="L13" s="281"/>
      <c r="M13" s="221" t="str">
        <f t="shared" si="3"/>
        <v/>
      </c>
      <c r="N13" s="232" t="str">
        <f t="shared" si="6"/>
        <v/>
      </c>
    </row>
    <row r="14" spans="2:14" ht="20.100000000000001" customHeight="1">
      <c r="B14" s="262"/>
      <c r="C14" s="278"/>
      <c r="D14" s="278"/>
      <c r="E14" s="98">
        <f t="shared" si="4"/>
        <v>24</v>
      </c>
      <c r="F14" s="84">
        <f t="shared" si="1"/>
        <v>0</v>
      </c>
      <c r="G14" s="279"/>
      <c r="H14" s="280"/>
      <c r="I14" s="262"/>
      <c r="J14" s="66" t="str">
        <f t="shared" si="2"/>
        <v/>
      </c>
      <c r="K14" s="97" t="str">
        <f t="shared" si="5"/>
        <v/>
      </c>
      <c r="L14" s="281"/>
      <c r="M14" s="221" t="str">
        <f t="shared" si="3"/>
        <v/>
      </c>
      <c r="N14" s="232" t="str">
        <f t="shared" si="6"/>
        <v/>
      </c>
    </row>
    <row r="15" spans="2:14" ht="20.100000000000001" customHeight="1">
      <c r="B15" s="262"/>
      <c r="C15" s="278"/>
      <c r="D15" s="278"/>
      <c r="E15" s="98">
        <f t="shared" si="4"/>
        <v>24</v>
      </c>
      <c r="F15" s="84">
        <f t="shared" si="1"/>
        <v>0</v>
      </c>
      <c r="G15" s="279"/>
      <c r="H15" s="280"/>
      <c r="I15" s="262"/>
      <c r="J15" s="66" t="str">
        <f t="shared" si="2"/>
        <v/>
      </c>
      <c r="K15" s="97" t="str">
        <f t="shared" si="5"/>
        <v/>
      </c>
      <c r="L15" s="281"/>
      <c r="M15" s="221" t="str">
        <f t="shared" si="3"/>
        <v/>
      </c>
      <c r="N15" s="232" t="str">
        <f t="shared" si="6"/>
        <v/>
      </c>
    </row>
    <row r="16" spans="2:14" ht="20.100000000000001" customHeight="1">
      <c r="B16" s="262"/>
      <c r="C16" s="278"/>
      <c r="D16" s="278"/>
      <c r="E16" s="98">
        <f>24-C16+D16</f>
        <v>24</v>
      </c>
      <c r="F16" s="84">
        <f t="shared" si="1"/>
        <v>0</v>
      </c>
      <c r="G16" s="279"/>
      <c r="H16" s="280"/>
      <c r="I16" s="262"/>
      <c r="J16" s="66" t="str">
        <f t="shared" si="2"/>
        <v/>
      </c>
      <c r="K16" s="97" t="str">
        <f t="shared" si="5"/>
        <v/>
      </c>
      <c r="L16" s="281"/>
      <c r="M16" s="221" t="str">
        <f t="shared" si="3"/>
        <v/>
      </c>
      <c r="N16" s="232" t="str">
        <f t="shared" si="6"/>
        <v/>
      </c>
    </row>
    <row r="17" spans="1:14" ht="20.100000000000001" customHeight="1">
      <c r="B17" s="262"/>
      <c r="C17" s="278"/>
      <c r="D17" s="278"/>
      <c r="E17" s="98">
        <f t="shared" si="4"/>
        <v>24</v>
      </c>
      <c r="F17" s="84">
        <f t="shared" si="1"/>
        <v>0</v>
      </c>
      <c r="G17" s="279"/>
      <c r="H17" s="280"/>
      <c r="I17" s="262"/>
      <c r="J17" s="219" t="str">
        <f t="shared" si="2"/>
        <v/>
      </c>
      <c r="K17" s="97" t="str">
        <f t="shared" si="5"/>
        <v/>
      </c>
      <c r="L17" s="281"/>
      <c r="M17" s="221" t="str">
        <f t="shared" si="3"/>
        <v/>
      </c>
      <c r="N17" s="232" t="str">
        <f t="shared" si="6"/>
        <v/>
      </c>
    </row>
    <row r="18" spans="1:14" ht="20.100000000000001" customHeight="1">
      <c r="B18" s="262"/>
      <c r="C18" s="278"/>
      <c r="D18" s="278"/>
      <c r="E18" s="98">
        <f t="shared" si="4"/>
        <v>24</v>
      </c>
      <c r="F18" s="84">
        <f t="shared" si="1"/>
        <v>0</v>
      </c>
      <c r="G18" s="279"/>
      <c r="H18" s="280"/>
      <c r="I18" s="262"/>
      <c r="J18" s="66" t="str">
        <f t="shared" si="2"/>
        <v/>
      </c>
      <c r="K18" s="97" t="str">
        <f t="shared" si="5"/>
        <v/>
      </c>
      <c r="L18" s="281"/>
      <c r="M18" s="221" t="str">
        <f t="shared" si="3"/>
        <v/>
      </c>
      <c r="N18" s="232" t="str">
        <f t="shared" si="6"/>
        <v/>
      </c>
    </row>
    <row r="19" spans="1:14" ht="20.100000000000001" customHeight="1">
      <c r="B19" s="262"/>
      <c r="C19" s="278"/>
      <c r="D19" s="278"/>
      <c r="E19" s="98">
        <f t="shared" si="4"/>
        <v>24</v>
      </c>
      <c r="F19" s="84">
        <f t="shared" si="1"/>
        <v>0</v>
      </c>
      <c r="G19" s="279"/>
      <c r="H19" s="280"/>
      <c r="I19" s="262"/>
      <c r="J19" s="66" t="str">
        <f t="shared" si="2"/>
        <v/>
      </c>
      <c r="K19" s="97" t="str">
        <f t="shared" si="5"/>
        <v/>
      </c>
      <c r="L19" s="281"/>
      <c r="M19" s="221" t="str">
        <f t="shared" si="3"/>
        <v/>
      </c>
      <c r="N19" s="232" t="str">
        <f t="shared" si="6"/>
        <v/>
      </c>
    </row>
    <row r="20" spans="1:14" ht="20.100000000000001" customHeight="1">
      <c r="B20" s="278"/>
      <c r="C20" s="278"/>
      <c r="D20" s="278"/>
      <c r="E20" s="98">
        <f t="shared" si="4"/>
        <v>24</v>
      </c>
      <c r="F20" s="84">
        <f t="shared" si="1"/>
        <v>0</v>
      </c>
      <c r="G20" s="279"/>
      <c r="H20" s="280"/>
      <c r="I20" s="262"/>
      <c r="J20" s="66" t="str">
        <f t="shared" si="2"/>
        <v/>
      </c>
      <c r="K20" s="97" t="str">
        <f t="shared" si="5"/>
        <v/>
      </c>
      <c r="L20" s="281"/>
      <c r="M20" s="221" t="str">
        <f t="shared" si="3"/>
        <v/>
      </c>
      <c r="N20" s="232" t="str">
        <f t="shared" si="6"/>
        <v/>
      </c>
    </row>
    <row r="21" spans="1:14" ht="20.100000000000001" customHeight="1">
      <c r="B21" s="278"/>
      <c r="C21" s="278"/>
      <c r="D21" s="278"/>
      <c r="E21" s="98">
        <f t="shared" si="4"/>
        <v>24</v>
      </c>
      <c r="F21" s="84">
        <f t="shared" si="1"/>
        <v>0</v>
      </c>
      <c r="G21" s="279"/>
      <c r="H21" s="280"/>
      <c r="I21" s="262"/>
      <c r="J21" s="66" t="str">
        <f t="shared" si="2"/>
        <v/>
      </c>
      <c r="K21" s="97" t="str">
        <f t="shared" si="5"/>
        <v/>
      </c>
      <c r="L21" s="281"/>
      <c r="M21" s="221" t="str">
        <f t="shared" si="3"/>
        <v/>
      </c>
      <c r="N21" s="232" t="str">
        <f t="shared" si="6"/>
        <v/>
      </c>
    </row>
    <row r="22" spans="1:14" ht="20.100000000000001" customHeight="1">
      <c r="B22" s="278"/>
      <c r="C22" s="278"/>
      <c r="D22" s="278"/>
      <c r="E22" s="98">
        <f t="shared" si="4"/>
        <v>24</v>
      </c>
      <c r="F22" s="84">
        <f t="shared" si="1"/>
        <v>0</v>
      </c>
      <c r="G22" s="279"/>
      <c r="H22" s="280"/>
      <c r="I22" s="262"/>
      <c r="J22" s="66" t="str">
        <f t="shared" si="2"/>
        <v/>
      </c>
      <c r="K22" s="97" t="str">
        <f t="shared" si="5"/>
        <v/>
      </c>
      <c r="L22" s="281"/>
      <c r="M22" s="221" t="str">
        <f t="shared" si="3"/>
        <v/>
      </c>
      <c r="N22" s="232" t="str">
        <f t="shared" si="6"/>
        <v/>
      </c>
    </row>
    <row r="23" spans="1:14" ht="20.100000000000001" customHeight="1" thickBot="1">
      <c r="B23" s="278"/>
      <c r="C23" s="278"/>
      <c r="D23" s="278"/>
      <c r="E23" s="98">
        <f t="shared" si="4"/>
        <v>24</v>
      </c>
      <c r="F23" s="84">
        <f t="shared" si="1"/>
        <v>0</v>
      </c>
      <c r="G23" s="279"/>
      <c r="H23" s="280"/>
      <c r="I23" s="262"/>
      <c r="J23" s="182" t="str">
        <f t="shared" si="2"/>
        <v/>
      </c>
      <c r="K23" s="97" t="str">
        <f t="shared" si="5"/>
        <v/>
      </c>
      <c r="L23" s="281"/>
      <c r="M23" s="221" t="str">
        <f t="shared" si="3"/>
        <v/>
      </c>
      <c r="N23" s="232" t="str">
        <f t="shared" si="6"/>
        <v/>
      </c>
    </row>
    <row r="24" spans="1:14" ht="20.100000000000001" customHeight="1" thickBot="1">
      <c r="G24" s="93"/>
      <c r="J24" s="220">
        <f>SUM(J5:J23)</f>
        <v>0</v>
      </c>
      <c r="M24" s="103">
        <f>SUM(M5:M23)</f>
        <v>0</v>
      </c>
    </row>
    <row r="25" spans="1:14">
      <c r="B25" s="230" t="b">
        <f>IF(J24&gt;0,IF(J24&lt;4800,"Haben Sie alle zuschlagsplfichtigen Zeiten berücksichtigt?! - siehe auch Anwenderhandbuch Seite 16",IF(J24&gt;5200,"Bitte die zuschlagspflichtigen Zeiten überprüfen - sie sind möglicherweise zu hoch - siehe auch Anwenderhandbuch Seite 16","")))</f>
        <v>0</v>
      </c>
      <c r="G25" s="94"/>
    </row>
    <row r="26" spans="1:14">
      <c r="G26" s="94"/>
    </row>
    <row r="27" spans="1:14">
      <c r="A27" s="2" t="s">
        <v>53</v>
      </c>
      <c r="B27" s="191" t="s">
        <v>15</v>
      </c>
    </row>
    <row r="28" spans="1:14">
      <c r="A28" s="409"/>
      <c r="B28" s="413"/>
      <c r="C28" s="414" t="s">
        <v>134</v>
      </c>
      <c r="D28" s="414" t="s">
        <v>138</v>
      </c>
      <c r="F28" s="414" t="s">
        <v>136</v>
      </c>
      <c r="G28" s="410" t="s">
        <v>209</v>
      </c>
      <c r="H28" s="410" t="s">
        <v>137</v>
      </c>
    </row>
    <row r="29" spans="1:14">
      <c r="A29" s="409"/>
      <c r="B29" s="413"/>
      <c r="C29" s="414"/>
      <c r="D29" s="414"/>
      <c r="F29" s="414"/>
      <c r="G29" s="411"/>
      <c r="H29" s="411"/>
    </row>
    <row r="30" spans="1:14">
      <c r="B30" s="66" t="str">
        <f>IF('PK Zusammenfassung'!C9&gt;0,'PK Zusammenfassung'!C9,"")</f>
        <v/>
      </c>
      <c r="C30" s="282"/>
      <c r="D30" s="84">
        <f>'PK Zusammenfassung'!$D$3</f>
        <v>0</v>
      </c>
      <c r="F30" s="66">
        <v>4.3479999999999999</v>
      </c>
      <c r="G30" s="85" t="str">
        <f>IF(C30="","",ROUND(C30/(D30*F30),2))</f>
        <v/>
      </c>
      <c r="H30" s="85" t="str">
        <f>IF(G30="","",ROUND(('PK Zusammenfassung'!D9*'PK Zeitzuschläge'!G30),2))</f>
        <v/>
      </c>
      <c r="I30" s="63"/>
      <c r="J30" s="63"/>
      <c r="K30" s="63" t="s">
        <v>150</v>
      </c>
      <c r="L30" s="63"/>
      <c r="M30" s="100">
        <f>M24</f>
        <v>0</v>
      </c>
    </row>
    <row r="31" spans="1:14">
      <c r="B31" s="66" t="str">
        <f>IF('PK Zusammenfassung'!C10&gt;0,'PK Zusammenfassung'!C10,"")</f>
        <v/>
      </c>
      <c r="C31" s="282"/>
      <c r="D31" s="84">
        <f>'PK Zusammenfassung'!$D$3</f>
        <v>0</v>
      </c>
      <c r="F31" s="66">
        <v>4.3479999999999999</v>
      </c>
      <c r="G31" s="85" t="str">
        <f>IF(C31="","",ROUND(C31/(D31*F31),2))</f>
        <v/>
      </c>
      <c r="H31" s="85" t="str">
        <f>IF(G31="","",ROUND(('PK Zusammenfassung'!D10*'PK Zeitzuschläge'!G31),2))</f>
        <v/>
      </c>
      <c r="I31" s="86"/>
      <c r="J31" s="86"/>
      <c r="K31" s="63" t="s">
        <v>151</v>
      </c>
      <c r="L31" s="63"/>
      <c r="M31" s="64">
        <f>H37</f>
        <v>0</v>
      </c>
    </row>
    <row r="32" spans="1:14">
      <c r="B32" s="66" t="str">
        <f>IF('PK Zusammenfassung'!C11&gt;0,'PK Zusammenfassung'!C11,"")</f>
        <v/>
      </c>
      <c r="C32" s="282"/>
      <c r="D32" s="84">
        <f>'PK Zusammenfassung'!$D$3</f>
        <v>0</v>
      </c>
      <c r="F32" s="66">
        <v>4.3479999999999999</v>
      </c>
      <c r="G32" s="85" t="str">
        <f>IF(C32="","",ROUND(C32/(D32*F32),2))</f>
        <v/>
      </c>
      <c r="H32" s="85" t="str">
        <f>IF(G32="","",ROUND(('PK Zusammenfassung'!D11*'PK Zeitzuschläge'!G32),2))</f>
        <v/>
      </c>
      <c r="I32" s="86"/>
      <c r="J32" s="86"/>
      <c r="K32" s="102" t="s">
        <v>152</v>
      </c>
      <c r="L32" s="102"/>
      <c r="M32" s="102">
        <v>12</v>
      </c>
    </row>
    <row r="33" spans="2:13">
      <c r="B33" s="66" t="str">
        <f>IF('PK Zusammenfassung'!C12&gt;0,'PK Zusammenfassung'!C12,"")</f>
        <v/>
      </c>
      <c r="C33" s="282"/>
      <c r="D33" s="84">
        <f>'PK Zusammenfassung'!$D$3</f>
        <v>0</v>
      </c>
      <c r="F33" s="66">
        <v>4.3479999999999999</v>
      </c>
      <c r="G33" s="85" t="str">
        <f>IF(C33="","",ROUND(C33/(D33*F33),2))</f>
        <v/>
      </c>
      <c r="H33" s="85" t="str">
        <f>IF(G33="","",ROUND(('PK Zusammenfassung'!D12*'PK Zeitzuschläge'!G33),2))</f>
        <v/>
      </c>
      <c r="I33" s="86"/>
      <c r="J33" s="86"/>
      <c r="L33" s="63"/>
    </row>
    <row r="34" spans="2:13" ht="14.4" thickBot="1">
      <c r="B34" s="66" t="str">
        <f>IF('PK Zusammenfassung'!C13&gt;0,'PK Zusammenfassung'!C13,"")</f>
        <v/>
      </c>
      <c r="C34" s="282"/>
      <c r="D34" s="84">
        <f>'PK Zusammenfassung'!$D$3</f>
        <v>0</v>
      </c>
      <c r="F34" s="66">
        <v>4.3479999999999999</v>
      </c>
      <c r="G34" s="85" t="str">
        <f>IF(C34="","",ROUND(C34/(D34*F34),2))</f>
        <v/>
      </c>
      <c r="H34" s="85" t="str">
        <f>IF(G34="","",ROUND(('PK Zusammenfassung'!D13*'PK Zeitzuschläge'!G34),2))</f>
        <v/>
      </c>
      <c r="I34" s="86"/>
      <c r="J34" s="86"/>
      <c r="K34" s="63" t="s">
        <v>153</v>
      </c>
      <c r="L34" s="63"/>
      <c r="M34" s="180" t="e">
        <f>ROUND(M30/M31/M32,2)</f>
        <v>#DIV/0!</v>
      </c>
    </row>
    <row r="35" spans="2:13" ht="14.4" thickBot="1">
      <c r="B35" s="63"/>
      <c r="C35" s="87"/>
      <c r="D35" s="63"/>
      <c r="F35" s="61" t="s">
        <v>139</v>
      </c>
      <c r="G35" s="63"/>
      <c r="H35" s="101" t="e">
        <f>ROUND(SUM(H30:H34)/H37,2)</f>
        <v>#DIV/0!</v>
      </c>
      <c r="I35" s="86"/>
      <c r="J35" s="86"/>
      <c r="K35" s="63" t="s">
        <v>221</v>
      </c>
      <c r="L35" s="63"/>
      <c r="M35" s="63"/>
    </row>
    <row r="36" spans="2:13" ht="14.4" thickBot="1">
      <c r="B36" s="63"/>
      <c r="C36" s="63"/>
      <c r="D36" s="87"/>
      <c r="E36" s="63"/>
      <c r="F36" s="63"/>
      <c r="G36" s="63"/>
      <c r="H36" s="86"/>
      <c r="I36" s="86"/>
      <c r="J36" s="86"/>
      <c r="K36" s="63" t="s">
        <v>241</v>
      </c>
      <c r="L36" s="63"/>
      <c r="M36" s="180" t="e">
        <f>H51</f>
        <v>#DIV/0!</v>
      </c>
    </row>
    <row r="37" spans="2:13" ht="14.4" thickBot="1">
      <c r="B37" s="63"/>
      <c r="C37" s="63"/>
      <c r="D37" s="87"/>
      <c r="E37" s="63"/>
      <c r="F37" s="61" t="s">
        <v>149</v>
      </c>
      <c r="H37" s="99">
        <f>SUM('PK Zusammenfassung'!D9:D13)</f>
        <v>0</v>
      </c>
      <c r="I37" s="86"/>
      <c r="J37" s="86"/>
    </row>
    <row r="38" spans="2:13" ht="14.4" thickBot="1">
      <c r="K38" s="1" t="s">
        <v>222</v>
      </c>
      <c r="M38" s="204" t="e">
        <f>SUM(M34:M36)</f>
        <v>#DIV/0!</v>
      </c>
    </row>
    <row r="41" spans="2:13">
      <c r="B41" s="1" t="s">
        <v>218</v>
      </c>
    </row>
    <row r="42" spans="2:13">
      <c r="B42" s="1" t="s">
        <v>216</v>
      </c>
    </row>
    <row r="43" spans="2:13">
      <c r="B43" s="1" t="s">
        <v>217</v>
      </c>
    </row>
    <row r="44" spans="2:13">
      <c r="B44" s="1" t="s">
        <v>219</v>
      </c>
    </row>
    <row r="46" spans="2:13">
      <c r="B46" s="205" t="s">
        <v>223</v>
      </c>
    </row>
    <row r="48" spans="2:13">
      <c r="B48" s="197" t="s">
        <v>247</v>
      </c>
      <c r="C48" s="198"/>
      <c r="D48" s="198"/>
      <c r="F48" s="8"/>
      <c r="G48" s="8"/>
      <c r="H48" s="8"/>
      <c r="I48" s="208"/>
      <c r="J48" s="217"/>
    </row>
    <row r="49" spans="2:11">
      <c r="B49" s="256" t="s">
        <v>248</v>
      </c>
      <c r="C49" s="254" t="s">
        <v>213</v>
      </c>
      <c r="D49" s="199" t="s">
        <v>214</v>
      </c>
      <c r="E49" s="203"/>
      <c r="F49" s="199" t="s">
        <v>220</v>
      </c>
      <c r="G49" s="199" t="s">
        <v>215</v>
      </c>
      <c r="H49" s="206" t="s">
        <v>9</v>
      </c>
      <c r="I49" s="208"/>
      <c r="J49" s="217"/>
    </row>
    <row r="50" spans="2:11" ht="14.4" thickBot="1">
      <c r="B50" s="255" t="s">
        <v>249</v>
      </c>
      <c r="C50" s="199">
        <v>50</v>
      </c>
      <c r="D50" s="200" t="e">
        <f>$M$34</f>
        <v>#DIV/0!</v>
      </c>
      <c r="E50" s="201"/>
      <c r="F50" s="202">
        <v>30.416666666666668</v>
      </c>
      <c r="G50" s="202" t="e">
        <f>D50/F50</f>
        <v>#DIV/0!</v>
      </c>
      <c r="H50" s="207" t="e">
        <f>ROUND(C50*G50,2)</f>
        <v>#DIV/0!</v>
      </c>
      <c r="I50" s="209"/>
      <c r="J50" s="218"/>
    </row>
    <row r="51" spans="2:11" ht="14.4" thickBot="1">
      <c r="B51" s="223" t="s">
        <v>224</v>
      </c>
      <c r="C51" s="222"/>
      <c r="D51" s="222"/>
      <c r="F51" s="223"/>
      <c r="G51" s="223"/>
      <c r="H51" s="226" t="e">
        <f>ROUND(H50/12,2)</f>
        <v>#DIV/0!</v>
      </c>
      <c r="I51" s="216"/>
      <c r="J51" s="216"/>
      <c r="K51" s="195"/>
    </row>
    <row r="52" spans="2:11">
      <c r="B52" s="224"/>
      <c r="C52" s="196"/>
      <c r="D52" s="224"/>
      <c r="E52" s="195"/>
      <c r="F52" s="195"/>
      <c r="G52" s="225"/>
      <c r="H52" s="195"/>
      <c r="I52" s="196"/>
      <c r="J52" s="196"/>
    </row>
  </sheetData>
  <sheetProtection algorithmName="SHA-512" hashValue="uWBrVg89W7OSgUpXE4/pi3uo1CMeH7dNXKzTcRJY4507kCNeHXdkgM+VdH0SKwyacy5bnAmQNeCMoP/473Vg5w==" saltValue="Pnr4D7nXoqCkS1C1r2M+4A==" spinCount="100000" sheet="1" objects="1" scenarios="1"/>
  <mergeCells count="15">
    <mergeCell ref="A28:A29"/>
    <mergeCell ref="H28:H29"/>
    <mergeCell ref="M3:M4"/>
    <mergeCell ref="K3:K4"/>
    <mergeCell ref="I3:I4"/>
    <mergeCell ref="F3:F4"/>
    <mergeCell ref="B28:B29"/>
    <mergeCell ref="G28:G29"/>
    <mergeCell ref="C3:D3"/>
    <mergeCell ref="G3:H3"/>
    <mergeCell ref="C28:C29"/>
    <mergeCell ref="L3:L4"/>
    <mergeCell ref="D28:D29"/>
    <mergeCell ref="F28:F29"/>
    <mergeCell ref="J3:J4"/>
  </mergeCells>
  <printOptions horizontalCentered="1" verticalCentered="1"/>
  <pageMargins left="0.23622047244094491" right="0.23622047244094491" top="0.74803149606299213" bottom="0.74803149606299213" header="0.31496062992125984" footer="0.31496062992125984"/>
  <pageSetup paperSize="9" scale="88" fitToHeight="0" orientation="landscape" r:id="rId1"/>
  <headerFooter>
    <oddFooter>&amp;LDatum des Ausdrucks
&amp;D&amp;CKalkulationsdatei (Version 2.1) gemäß
Beschluss der Hess. Jugendhilfekommission
vom 20. März 2026&amp;RSeite &amp;P von &amp;N</oddFooter>
  </headerFooter>
  <rowBreaks count="1" manualBreakCount="1">
    <brk id="25" max="16383" man="1"/>
  </rowBreaks>
  <ignoredErrors>
    <ignoredError sqref="A27"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U49"/>
  <sheetViews>
    <sheetView showGridLines="0" zoomScaleNormal="100" workbookViewId="0">
      <pane xSplit="5" ySplit="3" topLeftCell="F4" activePane="bottomRight" state="frozen"/>
      <selection pane="topRight" activeCell="F1" sqref="F1"/>
      <selection pane="bottomLeft" activeCell="A4" sqref="A4"/>
      <selection pane="bottomRight" activeCell="E3" sqref="E3"/>
    </sheetView>
  </sheetViews>
  <sheetFormatPr baseColWidth="10" defaultColWidth="11.44140625" defaultRowHeight="13.8"/>
  <cols>
    <col min="1" max="1" width="4.5546875" style="1" customWidth="1"/>
    <col min="2" max="2" width="2.33203125" style="1" hidden="1" customWidth="1"/>
    <col min="3" max="3" width="35.6640625" style="1" customWidth="1"/>
    <col min="4" max="4" width="17.109375" style="1" customWidth="1"/>
    <col min="5" max="5" width="14.109375" style="1" customWidth="1"/>
    <col min="6" max="6" width="14.6640625" style="1" customWidth="1"/>
    <col min="7" max="7" width="8.109375" style="1" customWidth="1"/>
    <col min="8" max="8" width="13.33203125" style="1" customWidth="1"/>
    <col min="9" max="9" width="7.5546875" style="1" customWidth="1"/>
    <col min="10" max="10" width="11.6640625" style="1" customWidth="1"/>
    <col min="11" max="11" width="11.88671875" style="1" customWidth="1"/>
    <col min="12" max="12" width="14.44140625" style="1" customWidth="1"/>
    <col min="13" max="13" width="46.44140625" style="1" customWidth="1"/>
    <col min="14" max="14" width="37.109375" style="1" customWidth="1"/>
    <col min="15" max="15" width="10.109375" style="1" customWidth="1"/>
    <col min="16" max="16" width="3.88671875" style="1" customWidth="1"/>
    <col min="17" max="17" width="11.44140625" style="1"/>
    <col min="18" max="18" width="13.88671875" style="1" customWidth="1"/>
    <col min="19" max="19" width="12.109375" style="1" bestFit="1" customWidth="1"/>
    <col min="20" max="20" width="12.6640625" style="1" bestFit="1" customWidth="1"/>
    <col min="21" max="16384" width="11.44140625" style="1"/>
  </cols>
  <sheetData>
    <row r="1" spans="1:21" ht="19.5" customHeight="1">
      <c r="A1" s="4"/>
      <c r="B1" s="4"/>
    </row>
    <row r="2" spans="1:21" s="72" customFormat="1" ht="58.5" customHeight="1">
      <c r="A2" s="1"/>
      <c r="B2" s="1"/>
      <c r="C2" s="312" t="s">
        <v>132</v>
      </c>
      <c r="D2" s="309" t="s">
        <v>231</v>
      </c>
      <c r="E2" s="178" t="s">
        <v>155</v>
      </c>
      <c r="F2" s="178" t="s">
        <v>212</v>
      </c>
      <c r="G2" s="311" t="s">
        <v>185</v>
      </c>
      <c r="H2" s="415"/>
      <c r="I2" s="311" t="s">
        <v>225</v>
      </c>
      <c r="J2" s="416"/>
      <c r="K2" s="415"/>
      <c r="L2" s="309" t="s">
        <v>233</v>
      </c>
      <c r="M2" s="4"/>
    </row>
    <row r="3" spans="1:21" s="72" customFormat="1" ht="31.5" customHeight="1">
      <c r="A3" s="1"/>
      <c r="B3" s="1"/>
      <c r="C3" s="313"/>
      <c r="D3" s="309"/>
      <c r="E3" s="283">
        <v>0.3</v>
      </c>
      <c r="F3" s="176">
        <f>O14</f>
        <v>0</v>
      </c>
      <c r="G3" s="175" t="s">
        <v>203</v>
      </c>
      <c r="H3" s="193" t="s">
        <v>127</v>
      </c>
      <c r="I3" s="175" t="s">
        <v>211</v>
      </c>
      <c r="J3" s="193" t="s">
        <v>127</v>
      </c>
      <c r="K3" s="193" t="s">
        <v>226</v>
      </c>
      <c r="L3" s="309"/>
    </row>
    <row r="4" spans="1:21" s="72" customFormat="1" ht="20.100000000000001" customHeight="1">
      <c r="A4" s="1"/>
      <c r="B4" s="1"/>
      <c r="C4" s="4"/>
      <c r="D4" s="4"/>
      <c r="E4" s="251"/>
      <c r="F4" s="301" t="str">
        <f>IF(F3=0,"FEHLER: Sozialversicherung und Umlagen in Spalte O eintragen","")</f>
        <v>FEHLER: Sozialversicherung und Umlagen in Spalte O eintragen</v>
      </c>
      <c r="G4" s="247"/>
      <c r="H4" s="248"/>
      <c r="I4" s="247"/>
      <c r="J4" s="248"/>
      <c r="K4" s="248"/>
      <c r="L4" s="4"/>
    </row>
    <row r="5" spans="1:21" s="74" customFormat="1" ht="20.100000000000001" customHeight="1">
      <c r="A5" s="2" t="s">
        <v>53</v>
      </c>
      <c r="C5" s="179" t="s">
        <v>0</v>
      </c>
      <c r="N5" s="74" t="s">
        <v>251</v>
      </c>
    </row>
    <row r="6" spans="1:21" s="63" customFormat="1" ht="20.100000000000001" customHeight="1">
      <c r="C6" s="66" t="str">
        <f>IF('PK Zusammenfassung'!C9=0,"",'PK Zusammenfassung'!C9)</f>
        <v/>
      </c>
      <c r="D6" s="106" t="str">
        <f>'PK AN-Brutto'!X9</f>
        <v/>
      </c>
      <c r="E6" s="164"/>
      <c r="F6" s="229" t="str">
        <f t="shared" ref="F6:F11" si="0">IF(D6="","",ROUND($D6*F$3,2))</f>
        <v/>
      </c>
      <c r="G6" s="177" t="str">
        <f>IF(D6="","",IF($O$18=0,"",('PK AN-Brutto'!Y9*'PK AG_Brutto'!$O$18+IF('PK AN-Brutto'!Y9*'PK AG_Brutto'!$O$18&gt;='PK AG_Brutto'!$O$19+$O$20,$O$20,IF('PK AN-Brutto'!Y9*'PK AG_Brutto'!$O$18-'PK AG_Brutto'!$O$19&lt;=0,0,'PK AN-Brutto'!Y9*'PK AG_Brutto'!$O$18-'PK AG_Brutto'!$O$19))*'PK AG_Brutto'!$O$25+IF('PK AN-Brutto'!Y9*'PK AG_Brutto'!$O$18&gt;='PK AG_Brutto'!$O$19+$O$20,$O$20,IF('PK AN-Brutto'!Y9*'PK AG_Brutto'!$O$18-'PK AG_Brutto'!$O$19&lt;=0,0,'PK AN-Brutto'!Y9*'PK AG_Brutto'!$O$18-'PK AG_Brutto'!$O$19))*'PK AG_Brutto'!$O$25*$O$26+IF('PK AN-Brutto'!Y9*'PK AG_Brutto'!$O$18&gt;='PK AG_Brutto'!$O$19+$O$20,$O$20,IF('PK AN-Brutto'!Y9*'PK AG_Brutto'!$O$18-'PK AG_Brutto'!$O$19&lt;=0,0,'PK AN-Brutto'!Y9*'PK AG_Brutto'!$O$18-'PK AG_Brutto'!$O$19))*'PK AG_Brutto'!$O$25*$O$27+IF('PK AN-Brutto'!Y9*'PK AG_Brutto'!$O$18&gt;='PK AG_Brutto'!$O$21,('PK AN-Brutto'!Y9*'PK AG_Brutto'!$O$18-'PK AG_Brutto'!$O$21+'PK AG_Brutto'!$O$21/'PK AG_Brutto'!$O$18*'PK AG_Brutto'!$O$22-'PK AG_Brutto'!$O$23)*'PK AG_Brutto'!$O$14,('PK AN-Brutto'!Y9*'PK AG_Brutto'!$O$18/'PK AG_Brutto'!$O$18*'PK AG_Brutto'!$O$22-'PK AG_Brutto'!$O$23)*'PK AG_Brutto'!$O$14)+'PK AN-Brutto'!Y9*'PK AG_Brutto'!$O$28)/'PK AN-Brutto'!Y9))</f>
        <v/>
      </c>
      <c r="H6" s="106" t="str">
        <f t="shared" ref="H6:H12" si="1">IF(G6="","",ROUND(D6*G6,2))</f>
        <v/>
      </c>
      <c r="I6" s="284"/>
      <c r="J6" s="194" t="str">
        <f t="shared" ref="J6:J12" si="2">IF(I6&gt;0,ROUND(D6*I6,2),"")</f>
        <v/>
      </c>
      <c r="K6" s="263"/>
      <c r="L6" s="194" t="str">
        <f>IF(D6="","",IF(M6="nur eine Option zur Altersversorg. möglich","FEHLER",SUM(D6,E6,F6,H6,J6,K6)))</f>
        <v/>
      </c>
      <c r="M6" s="228" t="str">
        <f>IF(COUNT(H6,I6,K6)&gt;1,"nur eine Option zur Altersversorg. möglich","")</f>
        <v/>
      </c>
      <c r="N6" s="66" t="s">
        <v>157</v>
      </c>
      <c r="O6" s="285"/>
      <c r="P6" s="1"/>
    </row>
    <row r="7" spans="1:21" s="63" customFormat="1" ht="20.100000000000001" customHeight="1">
      <c r="C7" s="66" t="str">
        <f>IF('PK Zusammenfassung'!C10=0,"",'PK Zusammenfassung'!C10)</f>
        <v/>
      </c>
      <c r="D7" s="106" t="str">
        <f>'PK AN-Brutto'!X10</f>
        <v/>
      </c>
      <c r="E7" s="164"/>
      <c r="F7" s="106" t="str">
        <f t="shared" si="0"/>
        <v/>
      </c>
      <c r="G7" s="177" t="str">
        <f>IF(D7="","",IF($O$18=0,"",('PK AN-Brutto'!Y10*'PK AG_Brutto'!$O$18+IF('PK AN-Brutto'!Y10*'PK AG_Brutto'!$O$18&gt;='PK AG_Brutto'!$O$19+$O$20,$O$20,IF('PK AN-Brutto'!Y10*'PK AG_Brutto'!$O$18-'PK AG_Brutto'!$O$19&lt;=0,0,'PK AN-Brutto'!Y10*'PK AG_Brutto'!$O$18-'PK AG_Brutto'!$O$19))*'PK AG_Brutto'!$O$25+IF('PK AN-Brutto'!Y10*'PK AG_Brutto'!$O$18&gt;='PK AG_Brutto'!$O$19+$O$20,$O$20,IF('PK AN-Brutto'!Y10*'PK AG_Brutto'!$O$18-'PK AG_Brutto'!$O$19&lt;=0,0,'PK AN-Brutto'!Y10*'PK AG_Brutto'!$O$18-'PK AG_Brutto'!$O$19))*'PK AG_Brutto'!$O$25*$O$26+IF('PK AN-Brutto'!Y10*'PK AG_Brutto'!$O$18&gt;='PK AG_Brutto'!$O$19+$O$20,$O$20,IF('PK AN-Brutto'!Y10*'PK AG_Brutto'!$O$18-'PK AG_Brutto'!$O$19&lt;=0,0,'PK AN-Brutto'!Y10*'PK AG_Brutto'!$O$18-'PK AG_Brutto'!$O$19))*'PK AG_Brutto'!$O$25*$O$27+IF('PK AN-Brutto'!Y10*'PK AG_Brutto'!$O$18&gt;='PK AG_Brutto'!$O$21,('PK AN-Brutto'!Y10*'PK AG_Brutto'!$O$18-'PK AG_Brutto'!$O$21+'PK AG_Brutto'!$O$21/'PK AG_Brutto'!$O$18*'PK AG_Brutto'!$O$22-'PK AG_Brutto'!$O$23)*'PK AG_Brutto'!$O$14,('PK AN-Brutto'!Y10*'PK AG_Brutto'!$O$18/'PK AG_Brutto'!$O$18*'PK AG_Brutto'!$O$22-'PK AG_Brutto'!$O$23)*'PK AG_Brutto'!$O$14)+'PK AN-Brutto'!Y10*'PK AG_Brutto'!$O$28)/'PK AN-Brutto'!Y10))</f>
        <v/>
      </c>
      <c r="H7" s="106" t="str">
        <f t="shared" si="1"/>
        <v/>
      </c>
      <c r="I7" s="284"/>
      <c r="J7" s="194" t="str">
        <f t="shared" si="2"/>
        <v/>
      </c>
      <c r="K7" s="263"/>
      <c r="L7" s="194" t="str">
        <f t="shared" ref="L7:L14" si="3">IF(D7="","",IF(M7="nur eine Option zur Altersversorg. möglich","FEHLER",SUM(D7,E7,F7,H7,J7,K7)))</f>
        <v/>
      </c>
      <c r="M7" s="228" t="str">
        <f t="shared" ref="M7:M14" si="4">IF(COUNT(H7,I7,K7)&gt;1,"nur eine Option zur Altersversorg. möglich","")</f>
        <v/>
      </c>
      <c r="N7" s="66" t="s">
        <v>253</v>
      </c>
      <c r="O7" s="285"/>
      <c r="P7" s="1"/>
    </row>
    <row r="8" spans="1:21" s="63" customFormat="1" ht="20.100000000000001" customHeight="1">
      <c r="C8" s="66" t="str">
        <f>IF('PK Zusammenfassung'!C11=0,"",'PK Zusammenfassung'!C11)</f>
        <v/>
      </c>
      <c r="D8" s="106" t="str">
        <f>'PK AN-Brutto'!X11</f>
        <v/>
      </c>
      <c r="E8" s="164"/>
      <c r="F8" s="106" t="str">
        <f t="shared" si="0"/>
        <v/>
      </c>
      <c r="G8" s="177" t="str">
        <f>IF(D8="","",IF($O$18=0,"",('PK AN-Brutto'!Y11*'PK AG_Brutto'!$O$18+IF('PK AN-Brutto'!Y11*'PK AG_Brutto'!$O$18&gt;='PK AG_Brutto'!$O$19+$O$20,$O$20,IF('PK AN-Brutto'!Y11*'PK AG_Brutto'!$O$18-'PK AG_Brutto'!$O$19&lt;=0,0,'PK AN-Brutto'!Y11*'PK AG_Brutto'!$O$18-'PK AG_Brutto'!$O$19))*'PK AG_Brutto'!$O$25+IF('PK AN-Brutto'!Y11*'PK AG_Brutto'!$O$18&gt;='PK AG_Brutto'!$O$19+$O$20,$O$20,IF('PK AN-Brutto'!Y11*'PK AG_Brutto'!$O$18-'PK AG_Brutto'!$O$19&lt;=0,0,'PK AN-Brutto'!Y11*'PK AG_Brutto'!$O$18-'PK AG_Brutto'!$O$19))*'PK AG_Brutto'!$O$25*$O$26+IF('PK AN-Brutto'!Y11*'PK AG_Brutto'!$O$18&gt;='PK AG_Brutto'!$O$19+$O$20,$O$20,IF('PK AN-Brutto'!Y11*'PK AG_Brutto'!$O$18-'PK AG_Brutto'!$O$19&lt;=0,0,'PK AN-Brutto'!Y11*'PK AG_Brutto'!$O$18-'PK AG_Brutto'!$O$19))*'PK AG_Brutto'!$O$25*$O$27+IF('PK AN-Brutto'!Y11*'PK AG_Brutto'!$O$18&gt;='PK AG_Brutto'!$O$21,('PK AN-Brutto'!Y11*'PK AG_Brutto'!$O$18-'PK AG_Brutto'!$O$21+'PK AG_Brutto'!$O$21/'PK AG_Brutto'!$O$18*'PK AG_Brutto'!$O$22-'PK AG_Brutto'!$O$23)*'PK AG_Brutto'!$O$14,('PK AN-Brutto'!Y11*'PK AG_Brutto'!$O$18/'PK AG_Brutto'!$O$18*'PK AG_Brutto'!$O$22-'PK AG_Brutto'!$O$23)*'PK AG_Brutto'!$O$14)+'PK AN-Brutto'!Y11*'PK AG_Brutto'!$O$28)/'PK AN-Brutto'!Y11))</f>
        <v/>
      </c>
      <c r="H8" s="106" t="str">
        <f t="shared" si="1"/>
        <v/>
      </c>
      <c r="I8" s="284"/>
      <c r="J8" s="194" t="str">
        <f t="shared" si="2"/>
        <v/>
      </c>
      <c r="K8" s="263"/>
      <c r="L8" s="194" t="str">
        <f t="shared" si="3"/>
        <v/>
      </c>
      <c r="M8" s="228" t="str">
        <f t="shared" si="4"/>
        <v/>
      </c>
      <c r="N8" s="66" t="s">
        <v>252</v>
      </c>
      <c r="O8" s="285"/>
      <c r="P8" s="1"/>
    </row>
    <row r="9" spans="1:21" s="63" customFormat="1" ht="20.100000000000001" customHeight="1">
      <c r="C9" s="66" t="str">
        <f>IF('PK Zusammenfassung'!C12=0,"",'PK Zusammenfassung'!C12)</f>
        <v/>
      </c>
      <c r="D9" s="106" t="str">
        <f>'PK AN-Brutto'!X12</f>
        <v/>
      </c>
      <c r="E9" s="164"/>
      <c r="F9" s="106" t="str">
        <f t="shared" si="0"/>
        <v/>
      </c>
      <c r="G9" s="177" t="str">
        <f>IF(D9="","",IF($O$18=0,"",('PK AN-Brutto'!Y12*'PK AG_Brutto'!$O$18+IF('PK AN-Brutto'!Y12*'PK AG_Brutto'!$O$18&gt;='PK AG_Brutto'!$O$19+$O$20,$O$20,IF('PK AN-Brutto'!Y12*'PK AG_Brutto'!$O$18-'PK AG_Brutto'!$O$19&lt;=0,0,'PK AN-Brutto'!Y12*'PK AG_Brutto'!$O$18-'PK AG_Brutto'!$O$19))*'PK AG_Brutto'!$O$25+IF('PK AN-Brutto'!Y12*'PK AG_Brutto'!$O$18&gt;='PK AG_Brutto'!$O$19+$O$20,$O$20,IF('PK AN-Brutto'!Y12*'PK AG_Brutto'!$O$18-'PK AG_Brutto'!$O$19&lt;=0,0,'PK AN-Brutto'!Y12*'PK AG_Brutto'!$O$18-'PK AG_Brutto'!$O$19))*'PK AG_Brutto'!$O$25*$O$26+IF('PK AN-Brutto'!Y12*'PK AG_Brutto'!$O$18&gt;='PK AG_Brutto'!$O$19+$O$20,$O$20,IF('PK AN-Brutto'!Y12*'PK AG_Brutto'!$O$18-'PK AG_Brutto'!$O$19&lt;=0,0,'PK AN-Brutto'!Y12*'PK AG_Brutto'!$O$18-'PK AG_Brutto'!$O$19))*'PK AG_Brutto'!$O$25*$O$27+IF('PK AN-Brutto'!Y12*'PK AG_Brutto'!$O$18&gt;='PK AG_Brutto'!$O$21,('PK AN-Brutto'!Y12*'PK AG_Brutto'!$O$18-'PK AG_Brutto'!$O$21+'PK AG_Brutto'!$O$21/'PK AG_Brutto'!$O$18*'PK AG_Brutto'!$O$22-'PK AG_Brutto'!$O$23)*'PK AG_Brutto'!$O$14,('PK AN-Brutto'!Y12*'PK AG_Brutto'!$O$18/'PK AG_Brutto'!$O$18*'PK AG_Brutto'!$O$22-'PK AG_Brutto'!$O$23)*'PK AG_Brutto'!$O$14)+'PK AN-Brutto'!Y12*'PK AG_Brutto'!$O$28)/'PK AN-Brutto'!Y12))</f>
        <v/>
      </c>
      <c r="H9" s="106" t="str">
        <f t="shared" si="1"/>
        <v/>
      </c>
      <c r="I9" s="284"/>
      <c r="J9" s="194" t="str">
        <f t="shared" si="2"/>
        <v/>
      </c>
      <c r="K9" s="263"/>
      <c r="L9" s="194" t="str">
        <f t="shared" si="3"/>
        <v/>
      </c>
      <c r="M9" s="228" t="str">
        <f t="shared" si="4"/>
        <v/>
      </c>
      <c r="N9" s="66" t="s">
        <v>158</v>
      </c>
      <c r="O9" s="285"/>
      <c r="P9" s="1"/>
    </row>
    <row r="10" spans="1:21" s="63" customFormat="1" ht="20.100000000000001" customHeight="1">
      <c r="C10" s="66" t="str">
        <f>IF('PK Zusammenfassung'!C13=0,"",'PK Zusammenfassung'!C13)</f>
        <v/>
      </c>
      <c r="D10" s="106" t="str">
        <f>'PK AN-Brutto'!X13</f>
        <v/>
      </c>
      <c r="E10" s="164"/>
      <c r="F10" s="106" t="str">
        <f t="shared" si="0"/>
        <v/>
      </c>
      <c r="G10" s="177" t="str">
        <f>IF(D10="","",IF($O$18=0,"",('PK AN-Brutto'!Y13*'PK AG_Brutto'!$O$18+IF('PK AN-Brutto'!Y13*'PK AG_Brutto'!$O$18&gt;='PK AG_Brutto'!$O$19+$O$20,$O$20,IF('PK AN-Brutto'!Y13*'PK AG_Brutto'!$O$18-'PK AG_Brutto'!$O$19&lt;=0,0,'PK AN-Brutto'!Y13*'PK AG_Brutto'!$O$18-'PK AG_Brutto'!$O$19))*'PK AG_Brutto'!$O$25+IF('PK AN-Brutto'!Y13*'PK AG_Brutto'!$O$18&gt;='PK AG_Brutto'!$O$19+$O$20,$O$20,IF('PK AN-Brutto'!Y13*'PK AG_Brutto'!$O$18-'PK AG_Brutto'!$O$19&lt;=0,0,'PK AN-Brutto'!Y13*'PK AG_Brutto'!$O$18-'PK AG_Brutto'!$O$19))*'PK AG_Brutto'!$O$25*$O$26+IF('PK AN-Brutto'!Y13*'PK AG_Brutto'!$O$18&gt;='PK AG_Brutto'!$O$19+$O$20,$O$20,IF('PK AN-Brutto'!Y13*'PK AG_Brutto'!$O$18-'PK AG_Brutto'!$O$19&lt;=0,0,'PK AN-Brutto'!Y13*'PK AG_Brutto'!$O$18-'PK AG_Brutto'!$O$19))*'PK AG_Brutto'!$O$25*$O$27+IF('PK AN-Brutto'!Y13*'PK AG_Brutto'!$O$18&gt;='PK AG_Brutto'!$O$21,('PK AN-Brutto'!Y13*'PK AG_Brutto'!$O$18-'PK AG_Brutto'!$O$21+'PK AG_Brutto'!$O$21/'PK AG_Brutto'!$O$18*'PK AG_Brutto'!$O$22-'PK AG_Brutto'!$O$23)*'PK AG_Brutto'!$O$14,('PK AN-Brutto'!Y13*'PK AG_Brutto'!$O$18/'PK AG_Brutto'!$O$18*'PK AG_Brutto'!$O$22-'PK AG_Brutto'!$O$23)*'PK AG_Brutto'!$O$14)+'PK AN-Brutto'!Y13*'PK AG_Brutto'!$O$28)/'PK AN-Brutto'!Y13))</f>
        <v/>
      </c>
      <c r="H10" s="106" t="str">
        <f t="shared" ref="H10" si="5">IF(G10="","",ROUND(D10*G10,2))</f>
        <v/>
      </c>
      <c r="I10" s="284"/>
      <c r="J10" s="194" t="str">
        <f t="shared" ref="J10" si="6">IF(I10&gt;0,ROUND(D10*I10,2),"")</f>
        <v/>
      </c>
      <c r="K10" s="263"/>
      <c r="L10" s="194" t="str">
        <f t="shared" ref="L10" si="7">IF(D10="","",IF(M10="nur eine Option zur Altersversorg. möglich","FEHLER",SUM(D10,E10,F10,H10,J10,K10)))</f>
        <v/>
      </c>
      <c r="M10" s="228" t="str">
        <f t="shared" ref="M10" si="8">IF(COUNT(H10,I10,K10)&gt;1,"nur eine Option zur Altersversorg. möglich","")</f>
        <v/>
      </c>
      <c r="N10" s="66" t="s">
        <v>205</v>
      </c>
      <c r="O10" s="285"/>
      <c r="P10" s="1"/>
    </row>
    <row r="11" spans="1:21" s="63" customFormat="1" ht="20.100000000000001" customHeight="1">
      <c r="C11" s="66" t="str">
        <f>IF('PK Zusammenfassung'!C14=0,"",'PK Zusammenfassung'!C14)</f>
        <v>Praktikanten</v>
      </c>
      <c r="D11" s="106" t="str">
        <f>'PK AN-Brutto'!X14</f>
        <v/>
      </c>
      <c r="E11" s="164"/>
      <c r="F11" s="106" t="str">
        <f t="shared" si="0"/>
        <v/>
      </c>
      <c r="G11" s="177" t="str">
        <f>IF(D11="","",IF($O$18=0,"",('PK AN-Brutto'!Y14*'PK AG_Brutto'!$O$18+IF('PK AN-Brutto'!Y14*'PK AG_Brutto'!$O$18&gt;='PK AG_Brutto'!$O$19+$O$20,$O$20,IF('PK AN-Brutto'!Y14*'PK AG_Brutto'!$O$18-'PK AG_Brutto'!$O$19&lt;=0,0,'PK AN-Brutto'!Y14*'PK AG_Brutto'!$O$18-'PK AG_Brutto'!$O$19))*'PK AG_Brutto'!$O$25+IF('PK AN-Brutto'!Y14*'PK AG_Brutto'!$O$18&gt;='PK AG_Brutto'!$O$19+$O$20,$O$20,IF('PK AN-Brutto'!Y14*'PK AG_Brutto'!$O$18-'PK AG_Brutto'!$O$19&lt;=0,0,'PK AN-Brutto'!Y14*'PK AG_Brutto'!$O$18-'PK AG_Brutto'!$O$19))*'PK AG_Brutto'!$O$25*$O$26+IF('PK AN-Brutto'!Y14*'PK AG_Brutto'!$O$18&gt;='PK AG_Brutto'!$O$19+$O$20,$O$20,IF('PK AN-Brutto'!Y14*'PK AG_Brutto'!$O$18-'PK AG_Brutto'!$O$19&lt;=0,0,'PK AN-Brutto'!Y14*'PK AG_Brutto'!$O$18-'PK AG_Brutto'!$O$19))*'PK AG_Brutto'!$O$25*$O$27+IF('PK AN-Brutto'!Y14*'PK AG_Brutto'!$O$18&gt;='PK AG_Brutto'!$O$21,('PK AN-Brutto'!Y14*'PK AG_Brutto'!$O$18-'PK AG_Brutto'!$O$21+'PK AG_Brutto'!$O$21/'PK AG_Brutto'!$O$18*'PK AG_Brutto'!$O$22-'PK AG_Brutto'!$O$23)*'PK AG_Brutto'!$O$14,('PK AN-Brutto'!Y14*'PK AG_Brutto'!$O$18/'PK AG_Brutto'!$O$18*'PK AG_Brutto'!$O$22-'PK AG_Brutto'!$O$23)*'PK AG_Brutto'!$O$14)+'PK AN-Brutto'!Y14*'PK AG_Brutto'!$O$28)/'PK AN-Brutto'!Y14))</f>
        <v/>
      </c>
      <c r="H11" s="106" t="str">
        <f t="shared" si="1"/>
        <v/>
      </c>
      <c r="I11" s="284"/>
      <c r="J11" s="194" t="str">
        <f t="shared" si="2"/>
        <v/>
      </c>
      <c r="K11" s="263"/>
      <c r="L11" s="194" t="str">
        <f t="shared" si="3"/>
        <v/>
      </c>
      <c r="M11" s="228" t="str">
        <f t="shared" si="4"/>
        <v/>
      </c>
      <c r="N11" s="66" t="s">
        <v>159</v>
      </c>
      <c r="O11" s="285"/>
      <c r="P11" s="1"/>
    </row>
    <row r="12" spans="1:21" s="63" customFormat="1" ht="20.100000000000001" customHeight="1">
      <c r="C12" s="66" t="str">
        <f>IF('PK Zusammenfassung'!C15=0,"",'PK Zusammenfassung'!C15)</f>
        <v>MiniJob</v>
      </c>
      <c r="D12" s="106" t="str">
        <f>'PK AN-Brutto'!X15</f>
        <v/>
      </c>
      <c r="E12" s="106" t="str">
        <f>IF(D12="","",D12*$E$3)</f>
        <v/>
      </c>
      <c r="F12" s="164"/>
      <c r="G12" s="177" t="str">
        <f>IF(D12="","",IF($O$18=0,"",('PK AN-Brutto'!Y15*'PK AG_Brutto'!$O$18+IF('PK AN-Brutto'!Y15*'PK AG_Brutto'!$O$18&gt;='PK AG_Brutto'!$O$19+$O$20,$O$20,IF('PK AN-Brutto'!Y15*'PK AG_Brutto'!$O$18-'PK AG_Brutto'!$O$19&lt;=0,0,'PK AN-Brutto'!Y15*'PK AG_Brutto'!$O$18-'PK AG_Brutto'!$O$19))*'PK AG_Brutto'!$O$25+IF('PK AN-Brutto'!Y15*'PK AG_Brutto'!$O$18&gt;='PK AG_Brutto'!$O$19+$O$20,$O$20,IF('PK AN-Brutto'!Y15*'PK AG_Brutto'!$O$18-'PK AG_Brutto'!$O$19&lt;=0,0,'PK AN-Brutto'!Y15*'PK AG_Brutto'!$O$18-'PK AG_Brutto'!$O$19))*'PK AG_Brutto'!$O$25*$O$26+IF('PK AN-Brutto'!Y15*'PK AG_Brutto'!$O$18&gt;='PK AG_Brutto'!$O$19+$O$20,$O$20,IF('PK AN-Brutto'!Y15*'PK AG_Brutto'!$O$18-'PK AG_Brutto'!$O$19&lt;=0,0,'PK AN-Brutto'!Y15*'PK AG_Brutto'!$O$18-'PK AG_Brutto'!$O$19))*'PK AG_Brutto'!$O$25*$O$27+IF('PK AN-Brutto'!Y15*'PK AG_Brutto'!$O$18&gt;='PK AG_Brutto'!$O$21,('PK AN-Brutto'!Y15*'PK AG_Brutto'!$O$18-'PK AG_Brutto'!$O$21+'PK AG_Brutto'!$O$21/'PK AG_Brutto'!$O$18*'PK AG_Brutto'!$O$22-'PK AG_Brutto'!$O$23)*'PK AG_Brutto'!$O$14,('PK AN-Brutto'!Y15*'PK AG_Brutto'!$O$18/'PK AG_Brutto'!$O$18*'PK AG_Brutto'!$O$22-'PK AG_Brutto'!$O$23)*'PK AG_Brutto'!$O$14)+'PK AN-Brutto'!Y15*'PK AG_Brutto'!$O$28)/'PK AN-Brutto'!Y15))</f>
        <v/>
      </c>
      <c r="H12" s="106" t="str">
        <f t="shared" si="1"/>
        <v/>
      </c>
      <c r="I12" s="284"/>
      <c r="J12" s="194" t="str">
        <f t="shared" si="2"/>
        <v/>
      </c>
      <c r="K12" s="263"/>
      <c r="L12" s="194" t="str">
        <f t="shared" si="3"/>
        <v/>
      </c>
      <c r="M12" s="228" t="str">
        <f t="shared" si="4"/>
        <v/>
      </c>
      <c r="N12" s="66" t="s">
        <v>160</v>
      </c>
      <c r="O12" s="285"/>
      <c r="P12" s="1"/>
    </row>
    <row r="13" spans="1:21" s="63" customFormat="1" ht="20.100000000000001" customHeight="1" thickBot="1">
      <c r="C13" s="66" t="str">
        <f>IF('PK Zusammenfassung'!C16=0,"",'PK Zusammenfassung'!C16)</f>
        <v>FSJ / BFD</v>
      </c>
      <c r="D13" s="106" t="str">
        <f>'PK AN-Brutto'!X16</f>
        <v/>
      </c>
      <c r="E13" s="164"/>
      <c r="F13" s="164"/>
      <c r="G13" s="164"/>
      <c r="H13" s="164"/>
      <c r="I13" s="164"/>
      <c r="J13" s="164"/>
      <c r="K13" s="164"/>
      <c r="L13" s="194" t="str">
        <f t="shared" si="3"/>
        <v/>
      </c>
      <c r="M13" s="228" t="str">
        <f t="shared" si="4"/>
        <v/>
      </c>
      <c r="N13" s="66" t="s">
        <v>267</v>
      </c>
      <c r="O13" s="286"/>
      <c r="P13" s="1"/>
    </row>
    <row r="14" spans="1:21" s="83" customFormat="1" ht="20.100000000000001" customHeight="1" thickBot="1">
      <c r="A14" s="63"/>
      <c r="B14" s="63"/>
      <c r="C14" s="66" t="str">
        <f>IF('PK Zusammenfassung'!C17=0,"",'PK Zusammenfassung'!C17)</f>
        <v>Honorare</v>
      </c>
      <c r="D14" s="106" t="str">
        <f>'PK AN-Brutto'!X17</f>
        <v/>
      </c>
      <c r="E14" s="164"/>
      <c r="F14" s="164"/>
      <c r="G14" s="164"/>
      <c r="H14" s="164"/>
      <c r="I14" s="164"/>
      <c r="J14" s="164"/>
      <c r="K14" s="164"/>
      <c r="L14" s="194" t="str">
        <f t="shared" si="3"/>
        <v/>
      </c>
      <c r="M14" s="228" t="str">
        <f t="shared" si="4"/>
        <v/>
      </c>
      <c r="N14" s="63"/>
      <c r="O14" s="190">
        <f>SUM(O6:O13)</f>
        <v>0</v>
      </c>
      <c r="P14" s="1"/>
    </row>
    <row r="15" spans="1:21" s="63" customFormat="1" ht="20.100000000000001" customHeight="1">
      <c r="D15" s="76"/>
      <c r="E15" s="76"/>
      <c r="F15" s="65"/>
      <c r="G15" s="65"/>
      <c r="H15" s="65"/>
      <c r="I15" s="65"/>
      <c r="J15" s="65"/>
      <c r="K15" s="65"/>
      <c r="L15" s="65"/>
      <c r="M15" s="83"/>
    </row>
    <row r="16" spans="1:21" s="63" customFormat="1" ht="20.100000000000001" customHeight="1">
      <c r="A16" s="60" t="s">
        <v>54</v>
      </c>
      <c r="C16" s="61" t="s">
        <v>1</v>
      </c>
      <c r="D16" s="107"/>
      <c r="E16" s="65"/>
      <c r="F16" s="65"/>
      <c r="G16" s="65"/>
      <c r="H16" s="65"/>
      <c r="I16" s="65"/>
      <c r="J16" s="65"/>
      <c r="K16" s="65"/>
      <c r="L16" s="107"/>
      <c r="N16" s="61" t="s">
        <v>184</v>
      </c>
      <c r="P16" s="74"/>
      <c r="Q16" s="61" t="s">
        <v>194</v>
      </c>
      <c r="U16" s="74"/>
    </row>
    <row r="17" spans="1:21" s="63" customFormat="1" ht="20.100000000000001" customHeight="1">
      <c r="C17" s="66" t="str">
        <f>IF('PK Zusammenfassung'!C20=0,"",'PK Zusammenfassung'!C20)</f>
        <v/>
      </c>
      <c r="D17" s="186" t="str">
        <f>'PK AN-Brutto'!X20</f>
        <v/>
      </c>
      <c r="E17" s="164"/>
      <c r="F17" s="106" t="str">
        <f>IF(D17="","",ROUND($D17*F$3,2))</f>
        <v/>
      </c>
      <c r="G17" s="177" t="str">
        <f>IF(D17="","",IF($O$18=0,"",('PK AN-Brutto'!Y20*'PK AG_Brutto'!$O$18+IF('PK AN-Brutto'!Y20*'PK AG_Brutto'!$O$18&gt;='PK AG_Brutto'!$O$19+$O$20,$O$20,IF('PK AN-Brutto'!Y20*'PK AG_Brutto'!$O$18-'PK AG_Brutto'!$O$19&lt;=0,0,'PK AN-Brutto'!Y20*'PK AG_Brutto'!$O$18-'PK AG_Brutto'!$O$19))*'PK AG_Brutto'!$O$25+IF('PK AN-Brutto'!Y20*'PK AG_Brutto'!$O$18&gt;='PK AG_Brutto'!$O$19+$O$20,$O$20,IF('PK AN-Brutto'!Y20*'PK AG_Brutto'!$O$18-'PK AG_Brutto'!$O$19&lt;=0,0,'PK AN-Brutto'!Y20*'PK AG_Brutto'!$O$18-'PK AG_Brutto'!$O$19))*'PK AG_Brutto'!$O$25*$O$26+IF('PK AN-Brutto'!Y20*'PK AG_Brutto'!$O$18&gt;='PK AG_Brutto'!$O$19+$O$20,$O$20,IF('PK AN-Brutto'!Y20*'PK AG_Brutto'!$O$18-'PK AG_Brutto'!$O$19&lt;=0,0,'PK AN-Brutto'!Y20*'PK AG_Brutto'!$O$18-'PK AG_Brutto'!$O$19))*'PK AG_Brutto'!$O$25*$O$27+IF('PK AN-Brutto'!Y20*'PK AG_Brutto'!$O$18&gt;='PK AG_Brutto'!$O$21,('PK AN-Brutto'!Y20*'PK AG_Brutto'!$O$18-'PK AG_Brutto'!$O$21+'PK AG_Brutto'!$O$21/'PK AG_Brutto'!$O$18*'PK AG_Brutto'!$O$22-'PK AG_Brutto'!$O$23)*'PK AG_Brutto'!$O$14,('PK AN-Brutto'!Y20*'PK AG_Brutto'!$O$18/'PK AG_Brutto'!$O$18*'PK AG_Brutto'!$O$22-'PK AG_Brutto'!$O$23)*'PK AG_Brutto'!$O$14)+'PK AN-Brutto'!Y20*'PK AG_Brutto'!$O$28)/'PK AN-Brutto'!Y20))</f>
        <v/>
      </c>
      <c r="H17" s="106" t="str">
        <f>IF(G17="","",ROUND(D17*G17,2))</f>
        <v/>
      </c>
      <c r="I17" s="284"/>
      <c r="J17" s="194" t="str">
        <f>IF(I17&gt;0,ROUND(D17*I17,2),"")</f>
        <v/>
      </c>
      <c r="K17" s="263"/>
      <c r="L17" s="194" t="str">
        <f t="shared" ref="L17:L22" si="9">IF(D17="","",IF(M17="nur eine Option zur Altersversorg. möglich","FEHLER",SUM(D17,E17,F17,H17,J17,K17)))</f>
        <v/>
      </c>
      <c r="M17" s="228" t="str">
        <f t="shared" ref="M17:M22" si="10">IF(COUNT(H17,I17,K17)&gt;1,"nur eine Option zur Altersversorg. möglich","")</f>
        <v/>
      </c>
      <c r="Q17" s="63" t="s">
        <v>234</v>
      </c>
      <c r="T17" s="279"/>
      <c r="U17" s="122"/>
    </row>
    <row r="18" spans="1:21" s="63" customFormat="1" ht="20.100000000000001" customHeight="1">
      <c r="C18" s="66" t="str">
        <f>IF('PK Zusammenfassung'!C21=0,"",'PK Zusammenfassung'!C21)</f>
        <v/>
      </c>
      <c r="D18" s="106" t="str">
        <f>'PK AN-Brutto'!X21</f>
        <v/>
      </c>
      <c r="E18" s="164"/>
      <c r="F18" s="106" t="str">
        <f>IF(D18="","",ROUND($D18*F$3,2))</f>
        <v/>
      </c>
      <c r="G18" s="177" t="str">
        <f>IF(D18="","",IF($O$18=0,"",('PK AN-Brutto'!Y21*'PK AG_Brutto'!$O$18+IF('PK AN-Brutto'!Y21*'PK AG_Brutto'!$O$18&gt;='PK AG_Brutto'!$O$19+$O$20,$O$20,IF('PK AN-Brutto'!Y21*'PK AG_Brutto'!$O$18-'PK AG_Brutto'!$O$19&lt;=0,0,'PK AN-Brutto'!Y21*'PK AG_Brutto'!$O$18-'PK AG_Brutto'!$O$19))*'PK AG_Brutto'!$O$25+IF('PK AN-Brutto'!Y21*'PK AG_Brutto'!$O$18&gt;='PK AG_Brutto'!$O$19+$O$20,$O$20,IF('PK AN-Brutto'!Y21*'PK AG_Brutto'!$O$18-'PK AG_Brutto'!$O$19&lt;=0,0,'PK AN-Brutto'!Y21*'PK AG_Brutto'!$O$18-'PK AG_Brutto'!$O$19))*'PK AG_Brutto'!$O$25*$O$26+IF('PK AN-Brutto'!Y21*'PK AG_Brutto'!$O$18&gt;='PK AG_Brutto'!$O$19+$O$20,$O$20,IF('PK AN-Brutto'!Y21*'PK AG_Brutto'!$O$18-'PK AG_Brutto'!$O$19&lt;=0,0,'PK AN-Brutto'!Y21*'PK AG_Brutto'!$O$18-'PK AG_Brutto'!$O$19))*'PK AG_Brutto'!$O$25*$O$27+IF('PK AN-Brutto'!Y21*'PK AG_Brutto'!$O$18&gt;='PK AG_Brutto'!$O$21,('PK AN-Brutto'!Y21*'PK AG_Brutto'!$O$18-'PK AG_Brutto'!$O$21+'PK AG_Brutto'!$O$21/'PK AG_Brutto'!$O$18*'PK AG_Brutto'!$O$22-'PK AG_Brutto'!$O$23)*'PK AG_Brutto'!$O$14,('PK AN-Brutto'!Y21*'PK AG_Brutto'!$O$18/'PK AG_Brutto'!$O$18*'PK AG_Brutto'!$O$22-'PK AG_Brutto'!$O$23)*'PK AG_Brutto'!$O$14)+'PK AN-Brutto'!Y21*'PK AG_Brutto'!$O$28)/'PK AN-Brutto'!Y21))</f>
        <v/>
      </c>
      <c r="H18" s="106" t="str">
        <f>IF(G18="","",ROUND(D18*G18,2))</f>
        <v/>
      </c>
      <c r="I18" s="284"/>
      <c r="J18" s="194" t="str">
        <f>IF(I18&gt;0,ROUND(D18*I18,2),"")</f>
        <v/>
      </c>
      <c r="K18" s="263"/>
      <c r="L18" s="194" t="str">
        <f t="shared" si="9"/>
        <v/>
      </c>
      <c r="M18" s="228" t="str">
        <f t="shared" si="10"/>
        <v/>
      </c>
      <c r="N18" s="66" t="s">
        <v>186</v>
      </c>
      <c r="O18" s="284"/>
      <c r="Q18" s="63" t="s">
        <v>186</v>
      </c>
      <c r="T18" s="180">
        <f>T17*O18</f>
        <v>0</v>
      </c>
    </row>
    <row r="19" spans="1:21" s="63" customFormat="1" ht="20.100000000000001" customHeight="1">
      <c r="C19" s="66" t="str">
        <f>IF('PK Zusammenfassung'!C22=0,"",'PK Zusammenfassung'!C22)</f>
        <v/>
      </c>
      <c r="D19" s="106" t="str">
        <f>'PK AN-Brutto'!X22</f>
        <v/>
      </c>
      <c r="E19" s="164"/>
      <c r="F19" s="106" t="str">
        <f>IF(D19="","",ROUND($D19*F$3,2))</f>
        <v/>
      </c>
      <c r="G19" s="177" t="str">
        <f>IF(D19="","",IF($O$18=0,"",('PK AN-Brutto'!Y22*'PK AG_Brutto'!$O$18+IF('PK AN-Brutto'!Y22*'PK AG_Brutto'!$O$18&gt;='PK AG_Brutto'!$O$19+$O$20,$O$20,IF('PK AN-Brutto'!Y22*'PK AG_Brutto'!$O$18-'PK AG_Brutto'!$O$19&lt;=0,0,'PK AN-Brutto'!Y22*'PK AG_Brutto'!$O$18-'PK AG_Brutto'!$O$19))*'PK AG_Brutto'!$O$25+IF('PK AN-Brutto'!Y22*'PK AG_Brutto'!$O$18&gt;='PK AG_Brutto'!$O$19+$O$20,$O$20,IF('PK AN-Brutto'!Y22*'PK AG_Brutto'!$O$18-'PK AG_Brutto'!$O$19&lt;=0,0,'PK AN-Brutto'!Y22*'PK AG_Brutto'!$O$18-'PK AG_Brutto'!$O$19))*'PK AG_Brutto'!$O$25*$O$26+IF('PK AN-Brutto'!Y22*'PK AG_Brutto'!$O$18&gt;='PK AG_Brutto'!$O$19+$O$20,$O$20,IF('PK AN-Brutto'!Y22*'PK AG_Brutto'!$O$18-'PK AG_Brutto'!$O$19&lt;=0,0,'PK AN-Brutto'!Y22*'PK AG_Brutto'!$O$18-'PK AG_Brutto'!$O$19))*'PK AG_Brutto'!$O$25*$O$27+IF('PK AN-Brutto'!Y22*'PK AG_Brutto'!$O$18&gt;='PK AG_Brutto'!$O$21,('PK AN-Brutto'!Y22*'PK AG_Brutto'!$O$18-'PK AG_Brutto'!$O$21+'PK AG_Brutto'!$O$21/'PK AG_Brutto'!$O$18*'PK AG_Brutto'!$O$22-'PK AG_Brutto'!$O$23)*'PK AG_Brutto'!$O$14,('PK AN-Brutto'!Y22*'PK AG_Brutto'!$O$18/'PK AG_Brutto'!$O$18*'PK AG_Brutto'!$O$22-'PK AG_Brutto'!$O$23)*'PK AG_Brutto'!$O$14)+'PK AN-Brutto'!Y22*'PK AG_Brutto'!$O$28)/'PK AN-Brutto'!Y22))</f>
        <v/>
      </c>
      <c r="H19" s="106" t="str">
        <f>IF(G19="","",ROUND(D19*G19,2))</f>
        <v/>
      </c>
      <c r="I19" s="284"/>
      <c r="J19" s="194" t="str">
        <f>IF(I19&gt;0,ROUND(D19*I19,2),"")</f>
        <v/>
      </c>
      <c r="K19" s="263"/>
      <c r="L19" s="194" t="str">
        <f t="shared" si="9"/>
        <v/>
      </c>
      <c r="M19" s="228" t="str">
        <f t="shared" si="10"/>
        <v/>
      </c>
      <c r="N19" s="66" t="s">
        <v>187</v>
      </c>
      <c r="O19" s="287">
        <v>130</v>
      </c>
      <c r="Q19" s="63" t="s">
        <v>195</v>
      </c>
      <c r="S19" s="100">
        <f>IF(T18-O19&gt;=0,T18-O19,0)</f>
        <v>0</v>
      </c>
    </row>
    <row r="20" spans="1:21" s="63" customFormat="1" ht="20.100000000000001" customHeight="1">
      <c r="C20" s="66" t="str">
        <f>IF('PK Zusammenfassung'!C23=0,"",'PK Zusammenfassung'!C23)</f>
        <v/>
      </c>
      <c r="D20" s="106" t="str">
        <f>'PK AN-Brutto'!X23</f>
        <v/>
      </c>
      <c r="E20" s="164"/>
      <c r="F20" s="106" t="str">
        <f>IF(D20="","",ROUND($D20*F$3,2))</f>
        <v/>
      </c>
      <c r="G20" s="177" t="str">
        <f>IF(D20="","",IF($O$18=0,"",('PK AN-Brutto'!Y23*'PK AG_Brutto'!$O$18+IF('PK AN-Brutto'!Y23*'PK AG_Brutto'!$O$18&gt;='PK AG_Brutto'!$O$19+$O$20,$O$20,IF('PK AN-Brutto'!Y23*'PK AG_Brutto'!$O$18-'PK AG_Brutto'!$O$19&lt;=0,0,'PK AN-Brutto'!Y23*'PK AG_Brutto'!$O$18-'PK AG_Brutto'!$O$19))*'PK AG_Brutto'!$O$25+IF('PK AN-Brutto'!Y23*'PK AG_Brutto'!$O$18&gt;='PK AG_Brutto'!$O$19+$O$20,$O$20,IF('PK AN-Brutto'!Y23*'PK AG_Brutto'!$O$18-'PK AG_Brutto'!$O$19&lt;=0,0,'PK AN-Brutto'!Y23*'PK AG_Brutto'!$O$18-'PK AG_Brutto'!$O$19))*'PK AG_Brutto'!$O$25*$O$26+IF('PK AN-Brutto'!Y23*'PK AG_Brutto'!$O$18&gt;='PK AG_Brutto'!$O$19+$O$20,$O$20,IF('PK AN-Brutto'!Y23*'PK AG_Brutto'!$O$18-'PK AG_Brutto'!$O$19&lt;=0,0,'PK AN-Brutto'!Y23*'PK AG_Brutto'!$O$18-'PK AG_Brutto'!$O$19))*'PK AG_Brutto'!$O$25*$O$27+IF('PK AN-Brutto'!Y23*'PK AG_Brutto'!$O$18&gt;='PK AG_Brutto'!$O$21,('PK AN-Brutto'!Y23*'PK AG_Brutto'!$O$18-'PK AG_Brutto'!$O$21+'PK AG_Brutto'!$O$21/'PK AG_Brutto'!$O$18*'PK AG_Brutto'!$O$22-'PK AG_Brutto'!$O$23)*'PK AG_Brutto'!$O$14,('PK AN-Brutto'!Y23*'PK AG_Brutto'!$O$18/'PK AG_Brutto'!$O$18*'PK AG_Brutto'!$O$22-'PK AG_Brutto'!$O$23)*'PK AG_Brutto'!$O$14)+'PK AN-Brutto'!Y23*'PK AG_Brutto'!$O$28)/'PK AN-Brutto'!Y23))</f>
        <v/>
      </c>
      <c r="H20" s="106" t="str">
        <f>IF(G20="","",ROUND(D20*G20,2))</f>
        <v/>
      </c>
      <c r="I20" s="284"/>
      <c r="J20" s="194" t="str">
        <f>IF(I20&gt;0,ROUND(D20*I20,2),"")</f>
        <v/>
      </c>
      <c r="K20" s="263"/>
      <c r="L20" s="194" t="str">
        <f t="shared" si="9"/>
        <v/>
      </c>
      <c r="M20" s="228" t="str">
        <f t="shared" si="10"/>
        <v/>
      </c>
      <c r="N20" s="66" t="s">
        <v>189</v>
      </c>
      <c r="O20" s="287">
        <v>89.48</v>
      </c>
      <c r="Q20" s="63" t="s">
        <v>196</v>
      </c>
      <c r="S20" s="181">
        <f>IF(S19&lt;=O20,S19,O20)</f>
        <v>0</v>
      </c>
      <c r="T20" s="100"/>
    </row>
    <row r="21" spans="1:21" s="83" customFormat="1" ht="20.100000000000001" customHeight="1">
      <c r="A21" s="63"/>
      <c r="B21" s="63"/>
      <c r="C21" s="66" t="str">
        <f>IF('PK Zusammenfassung'!C24=0,"",'PK Zusammenfassung'!C24)</f>
        <v>MiniJob</v>
      </c>
      <c r="D21" s="106" t="str">
        <f>'PK AN-Brutto'!X24</f>
        <v/>
      </c>
      <c r="E21" s="106" t="str">
        <f>IF(D21="","",D21*$E$3)</f>
        <v/>
      </c>
      <c r="F21" s="164"/>
      <c r="G21" s="177" t="str">
        <f>IF(D21="","",IF($O$18=0,"",('PK AN-Brutto'!Y24*'PK AG_Brutto'!$O$18+IF('PK AN-Brutto'!Y24*'PK AG_Brutto'!$O$18&gt;='PK AG_Brutto'!$O$19+$O$20,$O$20,IF('PK AN-Brutto'!Y24*'PK AG_Brutto'!$O$18-'PK AG_Brutto'!$O$19&lt;=0,0,'PK AN-Brutto'!Y24*'PK AG_Brutto'!$O$18-'PK AG_Brutto'!$O$19))*'PK AG_Brutto'!$O$25+IF('PK AN-Brutto'!Y24*'PK AG_Brutto'!$O$18&gt;='PK AG_Brutto'!$O$19+$O$20,$O$20,IF('PK AN-Brutto'!Y24*'PK AG_Brutto'!$O$18-'PK AG_Brutto'!$O$19&lt;=0,0,'PK AN-Brutto'!Y24*'PK AG_Brutto'!$O$18-'PK AG_Brutto'!$O$19))*'PK AG_Brutto'!$O$25*$O$26+IF('PK AN-Brutto'!Y24*'PK AG_Brutto'!$O$18&gt;='PK AG_Brutto'!$O$19+$O$20,$O$20,IF('PK AN-Brutto'!Y24*'PK AG_Brutto'!$O$18-'PK AG_Brutto'!$O$19&lt;=0,0,'PK AN-Brutto'!Y24*'PK AG_Brutto'!$O$18-'PK AG_Brutto'!$O$19))*'PK AG_Brutto'!$O$25*$O$27+IF('PK AN-Brutto'!Y24*'PK AG_Brutto'!$O$18&gt;='PK AG_Brutto'!$O$21,('PK AN-Brutto'!Y24*'PK AG_Brutto'!$O$18-'PK AG_Brutto'!$O$21+'PK AG_Brutto'!$O$21/'PK AG_Brutto'!$O$18*'PK AG_Brutto'!$O$22-'PK AG_Brutto'!$O$23)*'PK AG_Brutto'!$O$14,('PK AN-Brutto'!Y24*'PK AG_Brutto'!$O$18/'PK AG_Brutto'!$O$18*'PK AG_Brutto'!$O$22-'PK AG_Brutto'!$O$23)*'PK AG_Brutto'!$O$14)+'PK AN-Brutto'!Y24*'PK AG_Brutto'!$O$28)/'PK AN-Brutto'!Y24))</f>
        <v/>
      </c>
      <c r="H21" s="106" t="str">
        <f>IF(G21="","",ROUND(D21*G21,2))</f>
        <v/>
      </c>
      <c r="I21" s="284"/>
      <c r="J21" s="194" t="str">
        <f>IF(I21&gt;0,ROUND(D21*I21,2),"")</f>
        <v/>
      </c>
      <c r="K21" s="263"/>
      <c r="L21" s="194" t="str">
        <f t="shared" si="9"/>
        <v/>
      </c>
      <c r="M21" s="228" t="str">
        <f t="shared" si="10"/>
        <v/>
      </c>
      <c r="N21" s="66" t="s">
        <v>188</v>
      </c>
      <c r="O21" s="287">
        <v>100</v>
      </c>
      <c r="P21" s="63"/>
      <c r="Q21" s="63" t="s">
        <v>197</v>
      </c>
      <c r="R21" s="63"/>
      <c r="S21" s="100">
        <f>IF(T18-O21&gt;=0,T18-O21,0)</f>
        <v>0</v>
      </c>
      <c r="T21" s="63"/>
      <c r="U21" s="63"/>
    </row>
    <row r="22" spans="1:21" s="63" customFormat="1" ht="20.100000000000001" customHeight="1">
      <c r="C22" s="66" t="str">
        <f>IF('PK Zusammenfassung'!C25=0,"",'PK Zusammenfassung'!C25)</f>
        <v>Honorare</v>
      </c>
      <c r="D22" s="106" t="str">
        <f>'PK AN-Brutto'!X25</f>
        <v/>
      </c>
      <c r="E22" s="164"/>
      <c r="F22" s="164"/>
      <c r="G22" s="164"/>
      <c r="H22" s="164"/>
      <c r="I22" s="164"/>
      <c r="J22" s="164"/>
      <c r="K22" s="164"/>
      <c r="L22" s="194" t="str">
        <f t="shared" si="9"/>
        <v/>
      </c>
      <c r="M22" s="228" t="str">
        <f t="shared" si="10"/>
        <v/>
      </c>
      <c r="N22" s="182" t="s">
        <v>202</v>
      </c>
      <c r="O22" s="284">
        <v>2.5000000000000001E-2</v>
      </c>
      <c r="Q22" s="108" t="s">
        <v>198</v>
      </c>
      <c r="R22" s="83"/>
      <c r="S22" s="183" t="str">
        <f>IF(O18=0,"",IF(T18&gt;=O21,O21/O18*O22,T18/O18*O22))</f>
        <v/>
      </c>
      <c r="T22" s="83"/>
    </row>
    <row r="23" spans="1:21" s="63" customFormat="1" ht="20.100000000000001" customHeight="1">
      <c r="D23" s="76"/>
      <c r="E23" s="76"/>
      <c r="F23" s="65"/>
      <c r="G23" s="65"/>
      <c r="H23" s="65"/>
      <c r="I23" s="65"/>
      <c r="J23" s="65"/>
      <c r="K23" s="65"/>
      <c r="L23" s="65"/>
      <c r="M23" s="83"/>
      <c r="N23" s="66" t="s">
        <v>190</v>
      </c>
      <c r="O23" s="287">
        <v>13.3</v>
      </c>
      <c r="Q23" s="63" t="s">
        <v>199</v>
      </c>
      <c r="S23" s="100">
        <f>-O23</f>
        <v>-13.3</v>
      </c>
    </row>
    <row r="24" spans="1:21" s="63" customFormat="1" ht="20.100000000000001" customHeight="1">
      <c r="A24" s="60" t="s">
        <v>55</v>
      </c>
      <c r="C24" s="61" t="s">
        <v>2</v>
      </c>
      <c r="D24" s="65"/>
      <c r="E24" s="65"/>
      <c r="F24" s="65"/>
      <c r="G24" s="65"/>
      <c r="H24" s="65"/>
      <c r="I24" s="65"/>
      <c r="J24" s="65"/>
      <c r="K24" s="65"/>
      <c r="L24" s="65"/>
      <c r="Q24" s="63" t="s">
        <v>200</v>
      </c>
      <c r="S24" s="180">
        <f>SUM(S21:S23)</f>
        <v>-13.3</v>
      </c>
      <c r="T24" s="184">
        <f>ROUND(S24*O14,2)</f>
        <v>0</v>
      </c>
    </row>
    <row r="25" spans="1:21" s="63" customFormat="1" ht="20.100000000000001" customHeight="1">
      <c r="C25" s="66" t="str">
        <f>IF('PK Zusammenfassung'!C29=0,"",'PK Zusammenfassung'!C29)</f>
        <v/>
      </c>
      <c r="D25" s="106" t="str">
        <f>'PK AN-Brutto'!X28</f>
        <v/>
      </c>
      <c r="E25" s="164"/>
      <c r="F25" s="106" t="str">
        <f>IF(D25="","",ROUND($D25*F$3,2))</f>
        <v/>
      </c>
      <c r="G25" s="177" t="str">
        <f>IF(D25="","",IF($O$18=0,"",('PK AN-Brutto'!Y28*'PK AG_Brutto'!$O$18+IF('PK AN-Brutto'!Y28*'PK AG_Brutto'!$O$18&gt;='PK AG_Brutto'!$O$19+$O$20,$O$20,IF('PK AN-Brutto'!Y28*'PK AG_Brutto'!$O$18-'PK AG_Brutto'!$O$19&lt;=0,0,'PK AN-Brutto'!Y28*'PK AG_Brutto'!$O$18-'PK AG_Brutto'!$O$19))*'PK AG_Brutto'!$O$25+IF('PK AN-Brutto'!Y28*'PK AG_Brutto'!$O$18&gt;='PK AG_Brutto'!$O$19+$O$20,$O$20,IF('PK AN-Brutto'!Y28*'PK AG_Brutto'!$O$18-'PK AG_Brutto'!$O$19&lt;=0,0,'PK AN-Brutto'!Y28*'PK AG_Brutto'!$O$18-'PK AG_Brutto'!$O$19))*'PK AG_Brutto'!$O$25*$O$26+IF('PK AN-Brutto'!Y28*'PK AG_Brutto'!$O$18&gt;='PK AG_Brutto'!$O$19+$O$20,$O$20,IF('PK AN-Brutto'!Y28*'PK AG_Brutto'!$O$18-'PK AG_Brutto'!$O$19&lt;=0,0,'PK AN-Brutto'!Y28*'PK AG_Brutto'!$O$18-'PK AG_Brutto'!$O$19))*'PK AG_Brutto'!$O$25*$O$27+IF('PK AN-Brutto'!Y28*'PK AG_Brutto'!$O$18&gt;='PK AG_Brutto'!$O$21,('PK AN-Brutto'!Y28*'PK AG_Brutto'!$O$18-'PK AG_Brutto'!$O$21+'PK AG_Brutto'!$O$21/'PK AG_Brutto'!$O$18*'PK AG_Brutto'!$O$22-'PK AG_Brutto'!$O$23)*'PK AG_Brutto'!$O$14,('PK AN-Brutto'!Y28*'PK AG_Brutto'!$O$18/'PK AG_Brutto'!$O$18*'PK AG_Brutto'!$O$22-'PK AG_Brutto'!$O$23)*'PK AG_Brutto'!$O$14)+'PK AN-Brutto'!Y28*'PK AG_Brutto'!$O$28)/'PK AN-Brutto'!Y28))</f>
        <v/>
      </c>
      <c r="H25" s="106" t="str">
        <f>IF(G25="","",ROUND(D25*G25,2))</f>
        <v/>
      </c>
      <c r="I25" s="284"/>
      <c r="J25" s="194" t="str">
        <f>IF(I25&gt;0,ROUND(D25*I25,2),"")</f>
        <v/>
      </c>
      <c r="K25" s="263"/>
      <c r="L25" s="194" t="str">
        <f>IF(D25="","",IF(M25="nur eine Option zur Altersversorg. möglich","FEHLER",SUM(D25,E25,F25,H25,J25,K25)))</f>
        <v/>
      </c>
      <c r="M25" s="228" t="str">
        <f>IF(COUNT(H25,I25,K25)&gt;1,"nur eine Option zur Altersversorg. möglich","")</f>
        <v/>
      </c>
      <c r="N25" s="66" t="s">
        <v>191</v>
      </c>
      <c r="O25" s="284">
        <v>0.2</v>
      </c>
      <c r="P25" s="83"/>
      <c r="Q25" s="63" t="s">
        <v>196</v>
      </c>
      <c r="S25" s="180">
        <f>S20</f>
        <v>0</v>
      </c>
      <c r="T25" s="180">
        <f>S25*O25</f>
        <v>0</v>
      </c>
    </row>
    <row r="26" spans="1:21" s="63" customFormat="1" ht="20.100000000000001" customHeight="1">
      <c r="C26" s="66" t="str">
        <f>IF('PK Zusammenfassung'!C30=0,"",'PK Zusammenfassung'!C30)</f>
        <v/>
      </c>
      <c r="D26" s="106" t="str">
        <f>'PK AN-Brutto'!X29</f>
        <v/>
      </c>
      <c r="E26" s="164"/>
      <c r="F26" s="106" t="str">
        <f>IF(D26="","",ROUND($D26*F$3,2))</f>
        <v/>
      </c>
      <c r="G26" s="177" t="str">
        <f>IF(D26="","",IF($O$18=0,"",('PK AN-Brutto'!Y29*'PK AG_Brutto'!$O$18+IF('PK AN-Brutto'!Y29*'PK AG_Brutto'!$O$18&gt;='PK AG_Brutto'!$O$19+$O$20,$O$20,IF('PK AN-Brutto'!Y29*'PK AG_Brutto'!$O$18-'PK AG_Brutto'!$O$19&lt;=0,0,'PK AN-Brutto'!Y29*'PK AG_Brutto'!$O$18-'PK AG_Brutto'!$O$19))*'PK AG_Brutto'!$O$25+IF('PK AN-Brutto'!Y29*'PK AG_Brutto'!$O$18&gt;='PK AG_Brutto'!$O$19+$O$20,$O$20,IF('PK AN-Brutto'!Y29*'PK AG_Brutto'!$O$18-'PK AG_Brutto'!$O$19&lt;=0,0,'PK AN-Brutto'!Y29*'PK AG_Brutto'!$O$18-'PK AG_Brutto'!$O$19))*'PK AG_Brutto'!$O$25*$O$26+IF('PK AN-Brutto'!Y29*'PK AG_Brutto'!$O$18&gt;='PK AG_Brutto'!$O$19+$O$20,$O$20,IF('PK AN-Brutto'!Y29*'PK AG_Brutto'!$O$18-'PK AG_Brutto'!$O$19&lt;=0,0,'PK AN-Brutto'!Y29*'PK AG_Brutto'!$O$18-'PK AG_Brutto'!$O$19))*'PK AG_Brutto'!$O$25*$O$27+IF('PK AN-Brutto'!Y29*'PK AG_Brutto'!$O$18&gt;='PK AG_Brutto'!$O$21,('PK AN-Brutto'!Y29*'PK AG_Brutto'!$O$18-'PK AG_Brutto'!$O$21+'PK AG_Brutto'!$O$21/'PK AG_Brutto'!$O$18*'PK AG_Brutto'!$O$22-'PK AG_Brutto'!$O$23)*'PK AG_Brutto'!$O$14,('PK AN-Brutto'!Y29*'PK AG_Brutto'!$O$18/'PK AG_Brutto'!$O$18*'PK AG_Brutto'!$O$22-'PK AG_Brutto'!$O$23)*'PK AG_Brutto'!$O$14)+'PK AN-Brutto'!Y29*'PK AG_Brutto'!$O$28)/'PK AN-Brutto'!Y29))</f>
        <v/>
      </c>
      <c r="H26" s="106" t="str">
        <f>IF(G26="","",ROUND(D26*G26,2))</f>
        <v/>
      </c>
      <c r="I26" s="284"/>
      <c r="J26" s="194" t="str">
        <f>IF(I26&gt;0,ROUND(D26*I26,2),"")</f>
        <v/>
      </c>
      <c r="K26" s="263"/>
      <c r="L26" s="194" t="str">
        <f>IF(D26="","",IF(M26="nur eine Option zur Altersversorg. möglich","FEHLER",SUM(D26,E26,F26,H26,J26,K26)))</f>
        <v/>
      </c>
      <c r="M26" s="228" t="str">
        <f>IF(COUNT(H26,I26,K26)&gt;1,"nur eine Option zur Altersversorg. möglich","")</f>
        <v/>
      </c>
      <c r="N26" s="66" t="s">
        <v>192</v>
      </c>
      <c r="O26" s="284">
        <v>5.5E-2</v>
      </c>
      <c r="Q26" s="83"/>
      <c r="R26" s="83"/>
      <c r="S26" s="83"/>
      <c r="T26" s="185">
        <f>T25*O26</f>
        <v>0</v>
      </c>
      <c r="U26" s="83"/>
    </row>
    <row r="27" spans="1:21" s="63" customFormat="1" ht="20.100000000000001" customHeight="1">
      <c r="D27" s="65"/>
      <c r="E27" s="65"/>
      <c r="F27" s="65"/>
      <c r="G27" s="65"/>
      <c r="H27" s="65"/>
      <c r="I27" s="65"/>
      <c r="J27" s="65"/>
      <c r="K27" s="65"/>
      <c r="L27" s="65"/>
      <c r="N27" s="66" t="s">
        <v>193</v>
      </c>
      <c r="O27" s="284">
        <v>7.0000000000000007E-2</v>
      </c>
      <c r="T27" s="180">
        <f>T25*O27</f>
        <v>0</v>
      </c>
    </row>
    <row r="28" spans="1:21" s="83" customFormat="1" ht="20.100000000000001" customHeight="1">
      <c r="A28" s="60" t="s">
        <v>56</v>
      </c>
      <c r="B28" s="63"/>
      <c r="C28" s="61" t="s">
        <v>3</v>
      </c>
      <c r="D28" s="65"/>
      <c r="E28" s="65"/>
      <c r="F28" s="65"/>
      <c r="G28" s="65"/>
      <c r="H28" s="65"/>
      <c r="I28" s="65"/>
      <c r="J28" s="65"/>
      <c r="K28" s="65"/>
      <c r="L28" s="65"/>
      <c r="M28" s="63"/>
      <c r="N28" s="187" t="s">
        <v>204</v>
      </c>
      <c r="O28" s="288"/>
      <c r="P28" s="63"/>
      <c r="Q28" s="63" t="s">
        <v>201</v>
      </c>
      <c r="R28" s="63"/>
      <c r="S28" s="63"/>
      <c r="T28" s="180">
        <f>T17*O28</f>
        <v>0</v>
      </c>
      <c r="U28" s="63"/>
    </row>
    <row r="29" spans="1:21" s="63" customFormat="1" ht="20.100000000000001" customHeight="1" thickBot="1">
      <c r="C29" s="66" t="str">
        <f>IF('PK Zusammenfassung'!C34=0,"",'PK Zusammenfassung'!C34)</f>
        <v/>
      </c>
      <c r="D29" s="106" t="str">
        <f>'PK AN-Brutto'!X32</f>
        <v/>
      </c>
      <c r="E29" s="164"/>
      <c r="F29" s="106" t="str">
        <f>IF(D29="","",ROUND($D29*F$3,2))</f>
        <v/>
      </c>
      <c r="G29" s="177" t="str">
        <f>IF(D29="","",IF($O$18=0,"",('PK AN-Brutto'!Y32*'PK AG_Brutto'!$O$18+IF('PK AN-Brutto'!Y32*'PK AG_Brutto'!$O$18&gt;='PK AG_Brutto'!$O$19+$O$20,$O$20,IF('PK AN-Brutto'!Y32*'PK AG_Brutto'!$O$18-'PK AG_Brutto'!$O$19&lt;=0,0,'PK AN-Brutto'!Y32*'PK AG_Brutto'!$O$18-'PK AG_Brutto'!$O$19))*'PK AG_Brutto'!$O$25+IF('PK AN-Brutto'!Y32*'PK AG_Brutto'!$O$18&gt;='PK AG_Brutto'!$O$19+$O$20,$O$20,IF('PK AN-Brutto'!Y32*'PK AG_Brutto'!$O$18-'PK AG_Brutto'!$O$19&lt;=0,0,'PK AN-Brutto'!Y32*'PK AG_Brutto'!$O$18-'PK AG_Brutto'!$O$19))*'PK AG_Brutto'!$O$25*$O$26+IF('PK AN-Brutto'!Y32*'PK AG_Brutto'!$O$18&gt;='PK AG_Brutto'!$O$19+$O$20,$O$20,IF('PK AN-Brutto'!Y32*'PK AG_Brutto'!$O$18-'PK AG_Brutto'!$O$19&lt;=0,0,'PK AN-Brutto'!Y32*'PK AG_Brutto'!$O$18-'PK AG_Brutto'!$O$19))*'PK AG_Brutto'!$O$25*$O$27+IF('PK AN-Brutto'!Y32*'PK AG_Brutto'!$O$18&gt;='PK AG_Brutto'!$O$21,('PK AN-Brutto'!Y32*'PK AG_Brutto'!$O$18-'PK AG_Brutto'!$O$21+'PK AG_Brutto'!$O$21/'PK AG_Brutto'!$O$18*'PK AG_Brutto'!$O$22-'PK AG_Brutto'!$O$23)*'PK AG_Brutto'!$O$14,('PK AN-Brutto'!Y32*'PK AG_Brutto'!$O$18/'PK AG_Brutto'!$O$18*'PK AG_Brutto'!$O$22-'PK AG_Brutto'!$O$23)*'PK AG_Brutto'!$O$14)+'PK AN-Brutto'!Y32*'PK AG_Brutto'!$O$28)/'PK AN-Brutto'!Y32))</f>
        <v/>
      </c>
      <c r="H29" s="106" t="str">
        <f>IF(G29="","",ROUND(D29*G29,2))</f>
        <v/>
      </c>
      <c r="I29" s="284"/>
      <c r="J29" s="194" t="str">
        <f>IF(I29&gt;0,ROUND(D29*I29,2),"")</f>
        <v/>
      </c>
      <c r="K29" s="263"/>
      <c r="L29" s="194" t="str">
        <f>IF(D29="","",IF(M29="nur eine Option zur Altersversorg. möglich","FEHLER",SUM(D29,E29,F29,H29,J29,K29)))</f>
        <v/>
      </c>
      <c r="M29" s="228" t="str">
        <f>IF(COUNT(H29,I29,K29)&gt;1,"nur eine Option zur Altersversorg. möglich","")</f>
        <v/>
      </c>
      <c r="T29" s="100">
        <f>SUM(T18:T28)</f>
        <v>0</v>
      </c>
    </row>
    <row r="30" spans="1:21" s="63" customFormat="1" ht="20.100000000000001" customHeight="1" thickBot="1">
      <c r="C30" s="66" t="str">
        <f>IF('PK Zusammenfassung'!C35=0,"",'PK Zusammenfassung'!C35)</f>
        <v/>
      </c>
      <c r="D30" s="106" t="str">
        <f>'PK AN-Brutto'!X33</f>
        <v/>
      </c>
      <c r="E30" s="164"/>
      <c r="F30" s="106" t="str">
        <f>IF(D30="","",ROUND($D30*F$3,2))</f>
        <v/>
      </c>
      <c r="G30" s="177" t="str">
        <f>IF(D30="","",IF($O$18=0,"",('PK AN-Brutto'!Y33*'PK AG_Brutto'!$O$18+IF('PK AN-Brutto'!Y33*'PK AG_Brutto'!$O$18&gt;='PK AG_Brutto'!$O$19+$O$20,$O$20,IF('PK AN-Brutto'!Y33*'PK AG_Brutto'!$O$18-'PK AG_Brutto'!$O$19&lt;=0,0,'PK AN-Brutto'!Y33*'PK AG_Brutto'!$O$18-'PK AG_Brutto'!$O$19))*'PK AG_Brutto'!$O$25+IF('PK AN-Brutto'!Y33*'PK AG_Brutto'!$O$18&gt;='PK AG_Brutto'!$O$19+$O$20,$O$20,IF('PK AN-Brutto'!Y33*'PK AG_Brutto'!$O$18-'PK AG_Brutto'!$O$19&lt;=0,0,'PK AN-Brutto'!Y33*'PK AG_Brutto'!$O$18-'PK AG_Brutto'!$O$19))*'PK AG_Brutto'!$O$25*$O$26+IF('PK AN-Brutto'!Y33*'PK AG_Brutto'!$O$18&gt;='PK AG_Brutto'!$O$19+$O$20,$O$20,IF('PK AN-Brutto'!Y33*'PK AG_Brutto'!$O$18-'PK AG_Brutto'!$O$19&lt;=0,0,'PK AN-Brutto'!Y33*'PK AG_Brutto'!$O$18-'PK AG_Brutto'!$O$19))*'PK AG_Brutto'!$O$25*$O$27+IF('PK AN-Brutto'!Y33*'PK AG_Brutto'!$O$18&gt;='PK AG_Brutto'!$O$21,('PK AN-Brutto'!Y33*'PK AG_Brutto'!$O$18-'PK AG_Brutto'!$O$21+'PK AG_Brutto'!$O$21/'PK AG_Brutto'!$O$18*'PK AG_Brutto'!$O$22-'PK AG_Brutto'!$O$23)*'PK AG_Brutto'!$O$14,('PK AN-Brutto'!Y33*'PK AG_Brutto'!$O$18/'PK AG_Brutto'!$O$18*'PK AG_Brutto'!$O$22-'PK AG_Brutto'!$O$23)*'PK AG_Brutto'!$O$14)+'PK AN-Brutto'!Y33*'PK AG_Brutto'!$O$28)/'PK AN-Brutto'!Y33))</f>
        <v/>
      </c>
      <c r="H30" s="106" t="str">
        <f>IF(G30="","",ROUND(D30*G30,2))</f>
        <v/>
      </c>
      <c r="I30" s="284"/>
      <c r="J30" s="194" t="str">
        <f>IF(I30&gt;0,ROUND(D30*I30,2),"")</f>
        <v/>
      </c>
      <c r="K30" s="263"/>
      <c r="L30" s="194" t="str">
        <f>IF(D30="","",IF(M30="nur eine Option zur Altersversorg. möglich","FEHLER",SUM(D30,E30,F30,H30,J30,K30)))</f>
        <v/>
      </c>
      <c r="M30" s="228" t="str">
        <f>IF(COUNT(H30,I30,K30)&gt;1,"nur eine Option zur Altersversorg. möglich","")</f>
        <v/>
      </c>
      <c r="T30" s="188" t="str">
        <f>IF(T17="","",ROUND(T29/T17,4))</f>
        <v/>
      </c>
      <c r="U30" s="189"/>
    </row>
    <row r="31" spans="1:21" s="63" customFormat="1" ht="20.100000000000001" customHeight="1">
      <c r="C31" s="66" t="str">
        <f>IF('PK Zusammenfassung'!C36=0,"",'PK Zusammenfassung'!C36)</f>
        <v/>
      </c>
      <c r="D31" s="106" t="str">
        <f>'PK AN-Brutto'!X34</f>
        <v/>
      </c>
      <c r="E31" s="164"/>
      <c r="F31" s="106" t="str">
        <f>IF(D31="","",ROUND($D31*F$3,2))</f>
        <v/>
      </c>
      <c r="G31" s="177" t="str">
        <f>IF(D31="","",IF($O$18=0,"",('PK AN-Brutto'!Y34*'PK AG_Brutto'!$O$18+IF('PK AN-Brutto'!Y34*'PK AG_Brutto'!$O$18&gt;='PK AG_Brutto'!$O$19+$O$20,$O$20,IF('PK AN-Brutto'!Y34*'PK AG_Brutto'!$O$18-'PK AG_Brutto'!$O$19&lt;=0,0,'PK AN-Brutto'!Y34*'PK AG_Brutto'!$O$18-'PK AG_Brutto'!$O$19))*'PK AG_Brutto'!$O$25+IF('PK AN-Brutto'!Y34*'PK AG_Brutto'!$O$18&gt;='PK AG_Brutto'!$O$19+$O$20,$O$20,IF('PK AN-Brutto'!Y34*'PK AG_Brutto'!$O$18-'PK AG_Brutto'!$O$19&lt;=0,0,'PK AN-Brutto'!Y34*'PK AG_Brutto'!$O$18-'PK AG_Brutto'!$O$19))*'PK AG_Brutto'!$O$25*$O$26+IF('PK AN-Brutto'!Y34*'PK AG_Brutto'!$O$18&gt;='PK AG_Brutto'!$O$19+$O$20,$O$20,IF('PK AN-Brutto'!Y34*'PK AG_Brutto'!$O$18-'PK AG_Brutto'!$O$19&lt;=0,0,'PK AN-Brutto'!Y34*'PK AG_Brutto'!$O$18-'PK AG_Brutto'!$O$19))*'PK AG_Brutto'!$O$25*$O$27+IF('PK AN-Brutto'!Y34*'PK AG_Brutto'!$O$18&gt;='PK AG_Brutto'!$O$21,('PK AN-Brutto'!Y34*'PK AG_Brutto'!$O$18-'PK AG_Brutto'!$O$21+'PK AG_Brutto'!$O$21/'PK AG_Brutto'!$O$18*'PK AG_Brutto'!$O$22-'PK AG_Brutto'!$O$23)*'PK AG_Brutto'!$O$14,('PK AN-Brutto'!Y34*'PK AG_Brutto'!$O$18/'PK AG_Brutto'!$O$18*'PK AG_Brutto'!$O$22-'PK AG_Brutto'!$O$23)*'PK AG_Brutto'!$O$14)+'PK AN-Brutto'!Y34*'PK AG_Brutto'!$O$28)/'PK AN-Brutto'!Y34))</f>
        <v/>
      </c>
      <c r="H31" s="106" t="str">
        <f>IF(G31="","",ROUND(D31*G31,2))</f>
        <v/>
      </c>
      <c r="I31" s="284"/>
      <c r="J31" s="194" t="str">
        <f>IF(I31&gt;0,ROUND(D31*I31,2),"")</f>
        <v/>
      </c>
      <c r="K31" s="263"/>
      <c r="L31" s="194" t="str">
        <f>IF(D31="","",IF(M31="nur eine Option zur Altersversorg. möglich","FEHLER",SUM(D31,E31,F31,H31,J31,K31)))</f>
        <v/>
      </c>
      <c r="M31" s="228" t="str">
        <f>IF(COUNT(H31,I31,K31)&gt;1,"nur eine Option zur Altersversorg. möglich","")</f>
        <v/>
      </c>
    </row>
    <row r="32" spans="1:21" s="63" customFormat="1" ht="20.100000000000001" customHeight="1">
      <c r="C32" s="66" t="str">
        <f>IF('PK Zusammenfassung'!C37=0,"",'PK Zusammenfassung'!C37)</f>
        <v>MiniJob</v>
      </c>
      <c r="D32" s="106" t="str">
        <f>'PK AN-Brutto'!X35</f>
        <v/>
      </c>
      <c r="E32" s="106" t="str">
        <f>IF(D32="","",D32*$E$3)</f>
        <v/>
      </c>
      <c r="F32" s="164"/>
      <c r="G32" s="177" t="str">
        <f>IF(D32="","",IF($O$18=0,"",('PK AN-Brutto'!Y35*'PK AG_Brutto'!$O$18+IF('PK AN-Brutto'!Y35*'PK AG_Brutto'!$O$18&gt;='PK AG_Brutto'!$O$19+$O$20,$O$20,IF('PK AN-Brutto'!Y35*'PK AG_Brutto'!$O$18-'PK AG_Brutto'!$O$19&lt;=0,0,'PK AN-Brutto'!Y35*'PK AG_Brutto'!$O$18-'PK AG_Brutto'!$O$19))*'PK AG_Brutto'!$O$25+IF('PK AN-Brutto'!Y35*'PK AG_Brutto'!$O$18&gt;='PK AG_Brutto'!$O$19+$O$20,$O$20,IF('PK AN-Brutto'!Y35*'PK AG_Brutto'!$O$18-'PK AG_Brutto'!$O$19&lt;=0,0,'PK AN-Brutto'!Y35*'PK AG_Brutto'!$O$18-'PK AG_Brutto'!$O$19))*'PK AG_Brutto'!$O$25*$O$26+IF('PK AN-Brutto'!Y35*'PK AG_Brutto'!$O$18&gt;='PK AG_Brutto'!$O$19+$O$20,$O$20,IF('PK AN-Brutto'!Y35*'PK AG_Brutto'!$O$18-'PK AG_Brutto'!$O$19&lt;=0,0,'PK AN-Brutto'!Y35*'PK AG_Brutto'!$O$18-'PK AG_Brutto'!$O$19))*'PK AG_Brutto'!$O$25*$O$27+IF('PK AN-Brutto'!Y35*'PK AG_Brutto'!$O$18&gt;='PK AG_Brutto'!$O$21,('PK AN-Brutto'!Y35*'PK AG_Brutto'!$O$18-'PK AG_Brutto'!$O$21+'PK AG_Brutto'!$O$21/'PK AG_Brutto'!$O$18*'PK AG_Brutto'!$O$22-'PK AG_Brutto'!$O$23)*'PK AG_Brutto'!$O$14,('PK AN-Brutto'!Y35*'PK AG_Brutto'!$O$18/'PK AG_Brutto'!$O$18*'PK AG_Brutto'!$O$22-'PK AG_Brutto'!$O$23)*'PK AG_Brutto'!$O$14)+'PK AN-Brutto'!Y35*'PK AG_Brutto'!$O$28)/'PK AN-Brutto'!Y35))</f>
        <v/>
      </c>
      <c r="H32" s="106" t="str">
        <f>IF(G32="","",ROUND(D32*G32,2))</f>
        <v/>
      </c>
      <c r="I32" s="284"/>
      <c r="J32" s="194" t="str">
        <f>IF(I32&gt;0,ROUND(D32*I32,2),"")</f>
        <v/>
      </c>
      <c r="K32" s="263"/>
      <c r="L32" s="194" t="str">
        <f>IF(D32="","",IF(M32="nur eine Option zur Altersversorg. möglich","FEHLER",SUM(D32,E32,F32,H32,J32,K32)))</f>
        <v/>
      </c>
      <c r="M32" s="228" t="str">
        <f>IF(COUNT(H32,I32,K32)&gt;1,"nur eine Option zur Altersversorg. möglich","")</f>
        <v/>
      </c>
    </row>
    <row r="33" spans="1:15" s="63" customFormat="1" ht="20.100000000000001" customHeight="1">
      <c r="C33" s="66" t="str">
        <f>IF('PK Zusammenfassung'!C38=0,"",'PK Zusammenfassung'!C38)</f>
        <v>Honorare</v>
      </c>
      <c r="D33" s="106" t="str">
        <f>'PK AN-Brutto'!X36</f>
        <v/>
      </c>
      <c r="E33" s="164"/>
      <c r="F33" s="164"/>
      <c r="G33" s="164"/>
      <c r="H33" s="164"/>
      <c r="I33" s="164"/>
      <c r="J33" s="164"/>
      <c r="K33" s="164"/>
      <c r="L33" s="194" t="str">
        <f>IF(D33="","",IF(M33="nur eine Option zur Altersversorg. möglich","FEHLER",SUM(D33,E33,F33,H33,J33,K33)))</f>
        <v/>
      </c>
      <c r="M33" s="228" t="str">
        <f>IF(COUNT(H33,I33,K33)&gt;1,"nur eine Option zur Altersversorg. möglich","")</f>
        <v/>
      </c>
    </row>
    <row r="34" spans="1:15" s="63" customFormat="1" ht="20.100000000000001" customHeight="1">
      <c r="D34" s="65"/>
      <c r="E34" s="65"/>
      <c r="F34" s="65"/>
      <c r="G34" s="65"/>
      <c r="H34" s="65"/>
      <c r="I34" s="65"/>
      <c r="J34" s="65"/>
      <c r="K34" s="65"/>
      <c r="L34" s="65"/>
    </row>
    <row r="35" spans="1:15" s="83" customFormat="1" ht="20.100000000000001" customHeight="1">
      <c r="A35" s="60" t="s">
        <v>57</v>
      </c>
      <c r="B35" s="63"/>
      <c r="C35" s="61" t="s">
        <v>4</v>
      </c>
      <c r="D35" s="107"/>
      <c r="E35" s="65"/>
      <c r="F35" s="65"/>
      <c r="G35" s="65"/>
      <c r="H35" s="65"/>
      <c r="I35" s="65"/>
      <c r="J35" s="65"/>
      <c r="K35" s="65"/>
      <c r="L35" s="107"/>
      <c r="M35" s="63"/>
    </row>
    <row r="36" spans="1:15" s="63" customFormat="1" ht="20.100000000000001" customHeight="1">
      <c r="C36" s="66" t="str">
        <f>IF('PK Zusammenfassung'!C41=0,"",'PK Zusammenfassung'!C41)</f>
        <v/>
      </c>
      <c r="D36" s="186" t="str">
        <f>'PK AN-Brutto'!X39</f>
        <v/>
      </c>
      <c r="E36" s="164"/>
      <c r="F36" s="106" t="str">
        <f>IF(D36="","",ROUND($D36*F$3,2))</f>
        <v/>
      </c>
      <c r="G36" s="177" t="str">
        <f>IF(D36="","",IF($O$18=0,"",('PK AN-Brutto'!Y39*'PK AG_Brutto'!$O$18+IF('PK AN-Brutto'!Y39*'PK AG_Brutto'!$O$18&gt;='PK AG_Brutto'!$O$19+$O$20,$O$20,IF('PK AN-Brutto'!Y39*'PK AG_Brutto'!$O$18-'PK AG_Brutto'!$O$19&lt;=0,0,'PK AN-Brutto'!Y39*'PK AG_Brutto'!$O$18-'PK AG_Brutto'!$O$19))*'PK AG_Brutto'!$O$25+IF('PK AN-Brutto'!Y39*'PK AG_Brutto'!$O$18&gt;='PK AG_Brutto'!$O$19+$O$20,$O$20,IF('PK AN-Brutto'!Y39*'PK AG_Brutto'!$O$18-'PK AG_Brutto'!$O$19&lt;=0,0,'PK AN-Brutto'!Y39*'PK AG_Brutto'!$O$18-'PK AG_Brutto'!$O$19))*'PK AG_Brutto'!$O$25*$O$26+IF('PK AN-Brutto'!Y39*'PK AG_Brutto'!$O$18&gt;='PK AG_Brutto'!$O$19+$O$20,$O$20,IF('PK AN-Brutto'!Y39*'PK AG_Brutto'!$O$18-'PK AG_Brutto'!$O$19&lt;=0,0,'PK AN-Brutto'!Y39*'PK AG_Brutto'!$O$18-'PK AG_Brutto'!$O$19))*'PK AG_Brutto'!$O$25*$O$27+IF('PK AN-Brutto'!Y39*'PK AG_Brutto'!$O$18&gt;='PK AG_Brutto'!$O$21,('PK AN-Brutto'!Y39*'PK AG_Brutto'!$O$18-'PK AG_Brutto'!$O$21+'PK AG_Brutto'!$O$21/'PK AG_Brutto'!$O$18*'PK AG_Brutto'!$O$22-'PK AG_Brutto'!$O$23)*'PK AG_Brutto'!$O$14,('PK AN-Brutto'!Y39*'PK AG_Brutto'!$O$18/'PK AG_Brutto'!$O$18*'PK AG_Brutto'!$O$22-'PK AG_Brutto'!$O$23)*'PK AG_Brutto'!$O$14)+'PK AN-Brutto'!Y39*'PK AG_Brutto'!$O$28)/'PK AN-Brutto'!Y39))</f>
        <v/>
      </c>
      <c r="H36" s="106" t="str">
        <f>IF(G36="","",ROUND(D36*G36,2))</f>
        <v/>
      </c>
      <c r="I36" s="284"/>
      <c r="J36" s="194" t="str">
        <f>IF(I36&gt;0,ROUND(D36*I36,2),"")</f>
        <v/>
      </c>
      <c r="K36" s="263"/>
      <c r="L36" s="194" t="str">
        <f>IF(D36="","",IF(M36="nur eine Option zur Altersversorg. möglich","FEHLER",SUM(D36,E36,F36,H36,J36,K36)))</f>
        <v/>
      </c>
      <c r="M36" s="228" t="str">
        <f>IF(COUNT(H36,I36,K36)&gt;1,"nur eine Option zur Altersversorg. möglich","")</f>
        <v/>
      </c>
    </row>
    <row r="37" spans="1:15" s="63" customFormat="1" ht="20.100000000000001" customHeight="1">
      <c r="C37" s="66" t="str">
        <f>IF('PK Zusammenfassung'!C42=0,"",'PK Zusammenfassung'!C42)</f>
        <v/>
      </c>
      <c r="D37" s="106" t="str">
        <f>'PK AN-Brutto'!X40</f>
        <v/>
      </c>
      <c r="E37" s="164"/>
      <c r="F37" s="106" t="str">
        <f>IF(D37="","",ROUND($D37*F$3,2))</f>
        <v/>
      </c>
      <c r="G37" s="177" t="str">
        <f>IF(D37="","",IF($O$18=0,"",('PK AN-Brutto'!Y40*'PK AG_Brutto'!$O$18+IF('PK AN-Brutto'!Y40*'PK AG_Brutto'!$O$18&gt;='PK AG_Brutto'!$O$19+$O$20,$O$20,IF('PK AN-Brutto'!Y40*'PK AG_Brutto'!$O$18-'PK AG_Brutto'!$O$19&lt;=0,0,'PK AN-Brutto'!Y40*'PK AG_Brutto'!$O$18-'PK AG_Brutto'!$O$19))*'PK AG_Brutto'!$O$25+IF('PK AN-Brutto'!Y40*'PK AG_Brutto'!$O$18&gt;='PK AG_Brutto'!$O$19+$O$20,$O$20,IF('PK AN-Brutto'!Y40*'PK AG_Brutto'!$O$18-'PK AG_Brutto'!$O$19&lt;=0,0,'PK AN-Brutto'!Y40*'PK AG_Brutto'!$O$18-'PK AG_Brutto'!$O$19))*'PK AG_Brutto'!$O$25*$O$26+IF('PK AN-Brutto'!Y40*'PK AG_Brutto'!$O$18&gt;='PK AG_Brutto'!$O$19+$O$20,$O$20,IF('PK AN-Brutto'!Y40*'PK AG_Brutto'!$O$18-'PK AG_Brutto'!$O$19&lt;=0,0,'PK AN-Brutto'!Y40*'PK AG_Brutto'!$O$18-'PK AG_Brutto'!$O$19))*'PK AG_Brutto'!$O$25*$O$27+IF('PK AN-Brutto'!Y40*'PK AG_Brutto'!$O$18&gt;='PK AG_Brutto'!$O$21,('PK AN-Brutto'!Y40*'PK AG_Brutto'!$O$18-'PK AG_Brutto'!$O$21+'PK AG_Brutto'!$O$21/'PK AG_Brutto'!$O$18*'PK AG_Brutto'!$O$22-'PK AG_Brutto'!$O$23)*'PK AG_Brutto'!$O$14,('PK AN-Brutto'!Y40*'PK AG_Brutto'!$O$18/'PK AG_Brutto'!$O$18*'PK AG_Brutto'!$O$22-'PK AG_Brutto'!$O$23)*'PK AG_Brutto'!$O$14)+'PK AN-Brutto'!Y40*'PK AG_Brutto'!$O$28)/'PK AN-Brutto'!Y40))</f>
        <v/>
      </c>
      <c r="H37" s="106" t="str">
        <f>IF(G37="","",ROUND(D37*G37,2))</f>
        <v/>
      </c>
      <c r="I37" s="284"/>
      <c r="J37" s="194" t="str">
        <f>IF(I37&gt;0,ROUND(D37*I37,2),"")</f>
        <v/>
      </c>
      <c r="K37" s="263"/>
      <c r="L37" s="194" t="str">
        <f>IF(D37="","",IF(M37="nur eine Option zur Altersversorg. möglich","FEHLER",SUM(D37,E37,F37,H37,J37,K37)))</f>
        <v/>
      </c>
      <c r="M37" s="228" t="str">
        <f>IF(COUNT(H37,I37,K37)&gt;1,"nur eine Option zur Altersversorg. möglich","")</f>
        <v/>
      </c>
    </row>
    <row r="38" spans="1:15" s="63" customFormat="1" ht="20.100000000000001" customHeight="1">
      <c r="C38" s="66" t="str">
        <f>IF('PK Zusammenfassung'!C43=0,"",'PK Zusammenfassung'!C43)</f>
        <v>MiniJob</v>
      </c>
      <c r="D38" s="106" t="str">
        <f>'PK AN-Brutto'!X41</f>
        <v/>
      </c>
      <c r="E38" s="106" t="str">
        <f>IF(D38="","",D38*$E$3)</f>
        <v/>
      </c>
      <c r="F38" s="164"/>
      <c r="G38" s="177" t="str">
        <f>IF(D38="","",IF($O$18=0,"",('PK AN-Brutto'!Y41*'PK AG_Brutto'!$O$18+IF('PK AN-Brutto'!Y41*'PK AG_Brutto'!$O$18&gt;='PK AG_Brutto'!$O$19+$O$20,$O$20,IF('PK AN-Brutto'!Y41*'PK AG_Brutto'!$O$18-'PK AG_Brutto'!$O$19&lt;=0,0,'PK AN-Brutto'!Y41*'PK AG_Brutto'!$O$18-'PK AG_Brutto'!$O$19))*'PK AG_Brutto'!$O$25+IF('PK AN-Brutto'!Y41*'PK AG_Brutto'!$O$18&gt;='PK AG_Brutto'!$O$19+$O$20,$O$20,IF('PK AN-Brutto'!Y41*'PK AG_Brutto'!$O$18-'PK AG_Brutto'!$O$19&lt;=0,0,'PK AN-Brutto'!Y41*'PK AG_Brutto'!$O$18-'PK AG_Brutto'!$O$19))*'PK AG_Brutto'!$O$25*$O$26+IF('PK AN-Brutto'!Y41*'PK AG_Brutto'!$O$18&gt;='PK AG_Brutto'!$O$19+$O$20,$O$20,IF('PK AN-Brutto'!Y41*'PK AG_Brutto'!$O$18-'PK AG_Brutto'!$O$19&lt;=0,0,'PK AN-Brutto'!Y41*'PK AG_Brutto'!$O$18-'PK AG_Brutto'!$O$19))*'PK AG_Brutto'!$O$25*$O$27+IF('PK AN-Brutto'!Y41*'PK AG_Brutto'!$O$18&gt;='PK AG_Brutto'!$O$21,('PK AN-Brutto'!Y41*'PK AG_Brutto'!$O$18-'PK AG_Brutto'!$O$21+'PK AG_Brutto'!$O$21/'PK AG_Brutto'!$O$18*'PK AG_Brutto'!$O$22-'PK AG_Brutto'!$O$23)*'PK AG_Brutto'!$O$14,('PK AN-Brutto'!Y41*'PK AG_Brutto'!$O$18/'PK AG_Brutto'!$O$18*'PK AG_Brutto'!$O$22-'PK AG_Brutto'!$O$23)*'PK AG_Brutto'!$O$14)+'PK AN-Brutto'!Y41*'PK AG_Brutto'!$O$28)/'PK AN-Brutto'!Y41))</f>
        <v/>
      </c>
      <c r="H38" s="106" t="str">
        <f>IF(G38="","",ROUND(D38*G38,2))</f>
        <v/>
      </c>
      <c r="I38" s="284"/>
      <c r="J38" s="194" t="str">
        <f>IF(I38&gt;0,ROUND(D38*I38,2),"")</f>
        <v/>
      </c>
      <c r="K38" s="263"/>
      <c r="L38" s="194" t="str">
        <f>IF(D38="","",IF(M38="nur eine Option zur Altersversorg. möglich","FEHLER",SUM(D38,E38,F38,H38,J38,K38)))</f>
        <v/>
      </c>
      <c r="M38" s="228" t="str">
        <f>IF(COUNT(H38,I38,K38)&gt;1,"nur eine Option zur Altersversorg. möglich","")</f>
        <v/>
      </c>
    </row>
    <row r="39" spans="1:15" s="63" customFormat="1" ht="20.100000000000001" customHeight="1">
      <c r="C39" s="66" t="str">
        <f>IF('PK Zusammenfassung'!C44=0,"",'PK Zusammenfassung'!C44)</f>
        <v>FSJ / BFD</v>
      </c>
      <c r="D39" s="106" t="str">
        <f>'PK AN-Brutto'!X42</f>
        <v/>
      </c>
      <c r="E39" s="164"/>
      <c r="F39" s="164"/>
      <c r="G39" s="164"/>
      <c r="H39" s="164"/>
      <c r="I39" s="164"/>
      <c r="J39" s="164"/>
      <c r="K39" s="164"/>
      <c r="L39" s="194" t="str">
        <f>IF(D39="","",IF(M39="nur eine Option zur Altersversorg. möglich","FEHLER",SUM(D39,E39,F39,H39,J39,K39)))</f>
        <v/>
      </c>
      <c r="M39" s="228" t="str">
        <f>IF(COUNT(H39,I39,K39)&gt;1,"nur eine Option zur Altersversorg. möglich","")</f>
        <v/>
      </c>
    </row>
    <row r="40" spans="1:15" s="63" customFormat="1" ht="20.100000000000001" customHeight="1">
      <c r="C40" s="66" t="str">
        <f>IF('PK Zusammenfassung'!C45=0,"",'PK Zusammenfassung'!C45)</f>
        <v>Honorare</v>
      </c>
      <c r="D40" s="106" t="str">
        <f>'PK AN-Brutto'!X43</f>
        <v/>
      </c>
      <c r="E40" s="164"/>
      <c r="F40" s="164"/>
      <c r="G40" s="164"/>
      <c r="H40" s="164"/>
      <c r="I40" s="164"/>
      <c r="J40" s="164"/>
      <c r="K40" s="164"/>
      <c r="L40" s="194" t="str">
        <f>IF(D40="","",IF(M40="nur eine Option zur Altersversorg. möglich","FEHLER",SUM(D40,E40,F40,H40,J40,K40)))</f>
        <v/>
      </c>
      <c r="M40" s="228" t="str">
        <f>IF(COUNT(H40,I40,K40)&gt;1,"nur eine Option zur Altersversorg. möglich","")</f>
        <v/>
      </c>
    </row>
    <row r="41" spans="1:15" s="63" customFormat="1" ht="20.100000000000001" customHeight="1">
      <c r="F41" s="65"/>
      <c r="G41" s="65"/>
      <c r="H41" s="65"/>
      <c r="I41" s="65"/>
      <c r="J41" s="65"/>
      <c r="K41" s="65"/>
      <c r="L41" s="65"/>
    </row>
    <row r="42" spans="1:15" s="63" customFormat="1" ht="20.100000000000001" customHeight="1">
      <c r="A42" s="60" t="s">
        <v>58</v>
      </c>
      <c r="C42" s="61" t="s">
        <v>5</v>
      </c>
      <c r="F42" s="65"/>
      <c r="G42" s="65"/>
      <c r="H42" s="65"/>
      <c r="I42" s="65"/>
      <c r="J42" s="65"/>
      <c r="K42" s="65"/>
      <c r="L42" s="107"/>
    </row>
    <row r="43" spans="1:15" s="108" customFormat="1" ht="20.100000000000001" customHeight="1">
      <c r="A43" s="63"/>
      <c r="B43" s="63"/>
      <c r="C43" s="66" t="str">
        <f>IF('PK Zusammenfassung'!C48=0,"",'PK Zusammenfassung'!C48)</f>
        <v/>
      </c>
      <c r="D43" s="106" t="str">
        <f>'PK AN-Brutto'!X46</f>
        <v/>
      </c>
      <c r="E43" s="164"/>
      <c r="F43" s="106" t="str">
        <f>IF(D43="","",ROUND($D43*F$3,2))</f>
        <v/>
      </c>
      <c r="G43" s="177" t="str">
        <f>IF(D43="","",IF($O$18=0,"",('PK AN-Brutto'!Y46*'PK AG_Brutto'!$O$18+IF('PK AN-Brutto'!Y46*'PK AG_Brutto'!$O$18&gt;='PK AG_Brutto'!$O$19+$O$20,$O$20,IF('PK AN-Brutto'!Y46*'PK AG_Brutto'!$O$18-'PK AG_Brutto'!$O$19&lt;=0,0,'PK AN-Brutto'!Y46*'PK AG_Brutto'!$O$18-'PK AG_Brutto'!$O$19))*'PK AG_Brutto'!$O$25+IF('PK AN-Brutto'!Y46*'PK AG_Brutto'!$O$18&gt;='PK AG_Brutto'!$O$19+$O$20,$O$20,IF('PK AN-Brutto'!Y46*'PK AG_Brutto'!$O$18-'PK AG_Brutto'!$O$19&lt;=0,0,'PK AN-Brutto'!Y46*'PK AG_Brutto'!$O$18-'PK AG_Brutto'!$O$19))*'PK AG_Brutto'!$O$25*$O$26+IF('PK AN-Brutto'!Y46*'PK AG_Brutto'!$O$18&gt;='PK AG_Brutto'!$O$19+$O$20,$O$20,IF('PK AN-Brutto'!Y46*'PK AG_Brutto'!$O$18-'PK AG_Brutto'!$O$19&lt;=0,0,'PK AN-Brutto'!Y46*'PK AG_Brutto'!$O$18-'PK AG_Brutto'!$O$19))*'PK AG_Brutto'!$O$25*$O$27+IF('PK AN-Brutto'!Y46*'PK AG_Brutto'!$O$18&gt;='PK AG_Brutto'!$O$21,('PK AN-Brutto'!Y46*'PK AG_Brutto'!$O$18-'PK AG_Brutto'!$O$21+'PK AG_Brutto'!$O$21/'PK AG_Brutto'!$O$18*'PK AG_Brutto'!$O$22-'PK AG_Brutto'!$O$23)*'PK AG_Brutto'!$O$14,('PK AN-Brutto'!Y46*'PK AG_Brutto'!$O$18/'PK AG_Brutto'!$O$18*'PK AG_Brutto'!$O$22-'PK AG_Brutto'!$O$23)*'PK AG_Brutto'!$O$14)+'PK AN-Brutto'!Y46*'PK AG_Brutto'!$O$28)/'PK AN-Brutto'!Y46))</f>
        <v/>
      </c>
      <c r="H43" s="106" t="str">
        <f>IF(G43="","",ROUND(D43*G43,2))</f>
        <v/>
      </c>
      <c r="I43" s="284"/>
      <c r="J43" s="194" t="str">
        <f>IF(I43&gt;0,ROUND(D43*I43,2),"")</f>
        <v/>
      </c>
      <c r="K43" s="263"/>
      <c r="L43" s="194" t="str">
        <f>IF(D43="","",IF(M43="nur eine Option zur Altersversorg. möglich","FEHLER",SUM(D43,E43,F43,H43,J43,K43)))</f>
        <v/>
      </c>
      <c r="M43" s="228" t="str">
        <f>IF(COUNT(H43,I43,K43)&gt;1,"nur eine Option zur Altersversorg. möglich","")</f>
        <v/>
      </c>
    </row>
    <row r="44" spans="1:15" s="108" customFormat="1" ht="20.100000000000001" customHeight="1">
      <c r="A44" s="63"/>
      <c r="B44" s="63"/>
      <c r="C44" s="66" t="str">
        <f>IF('PK Zusammenfassung'!C49=0,"",'PK Zusammenfassung'!C49)</f>
        <v/>
      </c>
      <c r="D44" s="106" t="str">
        <f>'PK AN-Brutto'!X47</f>
        <v/>
      </c>
      <c r="E44" s="164"/>
      <c r="F44" s="106" t="str">
        <f>IF(D44="","",ROUND($D44*F$3,2))</f>
        <v/>
      </c>
      <c r="G44" s="177" t="str">
        <f>IF(D44="","",IF($O$18=0,"",('PK AN-Brutto'!Y47*'PK AG_Brutto'!$O$18+IF('PK AN-Brutto'!Y47*'PK AG_Brutto'!$O$18&gt;='PK AG_Brutto'!$O$19+$O$20,$O$20,IF('PK AN-Brutto'!Y47*'PK AG_Brutto'!$O$18-'PK AG_Brutto'!$O$19&lt;=0,0,'PK AN-Brutto'!Y47*'PK AG_Brutto'!$O$18-'PK AG_Brutto'!$O$19))*'PK AG_Brutto'!$O$25+IF('PK AN-Brutto'!Y47*'PK AG_Brutto'!$O$18&gt;='PK AG_Brutto'!$O$19+$O$20,$O$20,IF('PK AN-Brutto'!Y47*'PK AG_Brutto'!$O$18-'PK AG_Brutto'!$O$19&lt;=0,0,'PK AN-Brutto'!Y47*'PK AG_Brutto'!$O$18-'PK AG_Brutto'!$O$19))*'PK AG_Brutto'!$O$25*$O$26+IF('PK AN-Brutto'!Y47*'PK AG_Brutto'!$O$18&gt;='PK AG_Brutto'!$O$19+$O$20,$O$20,IF('PK AN-Brutto'!Y47*'PK AG_Brutto'!$O$18-'PK AG_Brutto'!$O$19&lt;=0,0,'PK AN-Brutto'!Y47*'PK AG_Brutto'!$O$18-'PK AG_Brutto'!$O$19))*'PK AG_Brutto'!$O$25*$O$27+IF('PK AN-Brutto'!Y47*'PK AG_Brutto'!$O$18&gt;='PK AG_Brutto'!$O$21,('PK AN-Brutto'!Y47*'PK AG_Brutto'!$O$18-'PK AG_Brutto'!$O$21+'PK AG_Brutto'!$O$21/'PK AG_Brutto'!$O$18*'PK AG_Brutto'!$O$22-'PK AG_Brutto'!$O$23)*'PK AG_Brutto'!$O$14,('PK AN-Brutto'!Y47*'PK AG_Brutto'!$O$18/'PK AG_Brutto'!$O$18*'PK AG_Brutto'!$O$22-'PK AG_Brutto'!$O$23)*'PK AG_Brutto'!$O$14)+'PK AN-Brutto'!Y47*'PK AG_Brutto'!$O$28)/'PK AN-Brutto'!Y47))</f>
        <v/>
      </c>
      <c r="H44" s="106" t="str">
        <f>IF(G44="","",ROUND(D44*G44,2))</f>
        <v/>
      </c>
      <c r="I44" s="284"/>
      <c r="J44" s="194" t="str">
        <f>IF(I44&gt;0,ROUND(D44*I44,2),"")</f>
        <v/>
      </c>
      <c r="K44" s="263"/>
      <c r="L44" s="194" t="str">
        <f>IF(D44="","",IF(M44="nur eine Option zur Altersversorg. möglich","FEHLER",SUM(D44,E44,F44,H44,J44,K44)))</f>
        <v/>
      </c>
      <c r="M44" s="228" t="str">
        <f>IF(COUNT(H44,I44,K44)&gt;1,"nur eine Option zur Altersversorg. möglich","")</f>
        <v/>
      </c>
    </row>
    <row r="45" spans="1:15" s="63" customFormat="1" ht="20.100000000000001" customHeight="1">
      <c r="C45" s="66" t="str">
        <f>IF('PK Zusammenfassung'!C50=0,"",'PK Zusammenfassung'!C50)</f>
        <v/>
      </c>
      <c r="D45" s="106" t="str">
        <f>'PK AN-Brutto'!X48</f>
        <v/>
      </c>
      <c r="E45" s="164"/>
      <c r="F45" s="106" t="str">
        <f>IF(D45="","",ROUND($D45*F$3,2))</f>
        <v/>
      </c>
      <c r="G45" s="177" t="str">
        <f>IF(D45="","",IF($O$18=0,"",('PK AN-Brutto'!Y48*'PK AG_Brutto'!$O$18+IF('PK AN-Brutto'!Y48*'PK AG_Brutto'!$O$18&gt;='PK AG_Brutto'!$O$19+$O$20,$O$20,IF('PK AN-Brutto'!Y48*'PK AG_Brutto'!$O$18-'PK AG_Brutto'!$O$19&lt;=0,0,'PK AN-Brutto'!Y48*'PK AG_Brutto'!$O$18-'PK AG_Brutto'!$O$19))*'PK AG_Brutto'!$O$25+IF('PK AN-Brutto'!Y48*'PK AG_Brutto'!$O$18&gt;='PK AG_Brutto'!$O$19+$O$20,$O$20,IF('PK AN-Brutto'!Y48*'PK AG_Brutto'!$O$18-'PK AG_Brutto'!$O$19&lt;=0,0,'PK AN-Brutto'!Y48*'PK AG_Brutto'!$O$18-'PK AG_Brutto'!$O$19))*'PK AG_Brutto'!$O$25*$O$26+IF('PK AN-Brutto'!Y48*'PK AG_Brutto'!$O$18&gt;='PK AG_Brutto'!$O$19+$O$20,$O$20,IF('PK AN-Brutto'!Y48*'PK AG_Brutto'!$O$18-'PK AG_Brutto'!$O$19&lt;=0,0,'PK AN-Brutto'!Y48*'PK AG_Brutto'!$O$18-'PK AG_Brutto'!$O$19))*'PK AG_Brutto'!$O$25*$O$27+IF('PK AN-Brutto'!Y48*'PK AG_Brutto'!$O$18&gt;='PK AG_Brutto'!$O$21,('PK AN-Brutto'!Y48*'PK AG_Brutto'!$O$18-'PK AG_Brutto'!$O$21+'PK AG_Brutto'!$O$21/'PK AG_Brutto'!$O$18*'PK AG_Brutto'!$O$22-'PK AG_Brutto'!$O$23)*'PK AG_Brutto'!$O$14,('PK AN-Brutto'!Y48*'PK AG_Brutto'!$O$18/'PK AG_Brutto'!$O$18*'PK AG_Brutto'!$O$22-'PK AG_Brutto'!$O$23)*'PK AG_Brutto'!$O$14)+'PK AN-Brutto'!Y48*'PK AG_Brutto'!$O$28)/'PK AN-Brutto'!Y48))</f>
        <v/>
      </c>
      <c r="H45" s="106" t="str">
        <f>IF(G45="","",ROUND(D45*G45,2))</f>
        <v/>
      </c>
      <c r="I45" s="284"/>
      <c r="J45" s="194" t="str">
        <f>IF(I45&gt;0,ROUND(D45*I45,2),"")</f>
        <v/>
      </c>
      <c r="K45" s="263"/>
      <c r="L45" s="194" t="str">
        <f>IF(D45="","",IF(M45="nur eine Option zur Altersversorg. möglich","FEHLER",SUM(D45,E45,F45,H45,J45,K45)))</f>
        <v/>
      </c>
      <c r="M45" s="228" t="str">
        <f>IF(COUNT(H45,I45,K45)&gt;1,"nur eine Option zur Altersversorg. möglich","")</f>
        <v/>
      </c>
    </row>
    <row r="46" spans="1:15" s="74" customFormat="1" ht="20.100000000000001" customHeight="1">
      <c r="A46" s="63"/>
      <c r="B46" s="63"/>
      <c r="C46" s="66" t="str">
        <f>IF('PK Zusammenfassung'!C51=0,"",'PK Zusammenfassung'!C51)</f>
        <v>MiniJob</v>
      </c>
      <c r="D46" s="106" t="str">
        <f>'PK AN-Brutto'!X49</f>
        <v/>
      </c>
      <c r="E46" s="106" t="str">
        <f>IF(D46="","",D46*$E$3)</f>
        <v/>
      </c>
      <c r="F46" s="164"/>
      <c r="G46" s="177" t="str">
        <f>IF(D46="","",IF($O$18=0,"",('PK AN-Brutto'!Y49*'PK AG_Brutto'!$O$18+IF('PK AN-Brutto'!Y49*'PK AG_Brutto'!$O$18&gt;='PK AG_Brutto'!$O$19+$O$20,$O$20,IF('PK AN-Brutto'!Y49*'PK AG_Brutto'!$O$18-'PK AG_Brutto'!$O$19&lt;=0,0,'PK AN-Brutto'!Y49*'PK AG_Brutto'!$O$18-'PK AG_Brutto'!$O$19))*'PK AG_Brutto'!$O$25+IF('PK AN-Brutto'!Y49*'PK AG_Brutto'!$O$18&gt;='PK AG_Brutto'!$O$19+$O$20,$O$20,IF('PK AN-Brutto'!Y49*'PK AG_Brutto'!$O$18-'PK AG_Brutto'!$O$19&lt;=0,0,'PK AN-Brutto'!Y49*'PK AG_Brutto'!$O$18-'PK AG_Brutto'!$O$19))*'PK AG_Brutto'!$O$25*$O$26+IF('PK AN-Brutto'!Y49*'PK AG_Brutto'!$O$18&gt;='PK AG_Brutto'!$O$19+$O$20,$O$20,IF('PK AN-Brutto'!Y49*'PK AG_Brutto'!$O$18-'PK AG_Brutto'!$O$19&lt;=0,0,'PK AN-Brutto'!Y49*'PK AG_Brutto'!$O$18-'PK AG_Brutto'!$O$19))*'PK AG_Brutto'!$O$25*$O$27+IF('PK AN-Brutto'!Y49*'PK AG_Brutto'!$O$18&gt;='PK AG_Brutto'!$O$21,('PK AN-Brutto'!Y49*'PK AG_Brutto'!$O$18-'PK AG_Brutto'!$O$21+'PK AG_Brutto'!$O$21/'PK AG_Brutto'!$O$18*'PK AG_Brutto'!$O$22-'PK AG_Brutto'!$O$23)*'PK AG_Brutto'!$O$14,('PK AN-Brutto'!Y49*'PK AG_Brutto'!$O$18/'PK AG_Brutto'!$O$18*'PK AG_Brutto'!$O$22-'PK AG_Brutto'!$O$23)*'PK AG_Brutto'!$O$14)+'PK AN-Brutto'!Y49*'PK AG_Brutto'!$O$28)/'PK AN-Brutto'!Y49))</f>
        <v/>
      </c>
      <c r="H46" s="106" t="str">
        <f>IF(G46="","",ROUND(D46*G46,2))</f>
        <v/>
      </c>
      <c r="I46" s="284"/>
      <c r="J46" s="194" t="str">
        <f>IF(I46&gt;0,ROUND(D46*I46,2),"")</f>
        <v/>
      </c>
      <c r="K46" s="263"/>
      <c r="L46" s="194" t="str">
        <f>IF(D46="","",IF(M46="nur eine Option zur Altersversorg. möglich","FEHLER",SUM(D46,E46,F46,H46,J46,K46)))</f>
        <v/>
      </c>
      <c r="M46" s="228" t="str">
        <f>IF(COUNT(H46,I46,K46)&gt;1,"nur eine Option zur Altersversorg. möglich","")</f>
        <v/>
      </c>
      <c r="N46" s="63"/>
      <c r="O46" s="63"/>
    </row>
    <row r="47" spans="1:15" ht="20.100000000000001" customHeight="1">
      <c r="A47" s="63"/>
      <c r="B47" s="63"/>
      <c r="C47" s="66" t="str">
        <f>IF('PK Zusammenfassung'!C52=0,"",'PK Zusammenfassung'!C52)</f>
        <v>Honorare</v>
      </c>
      <c r="D47" s="106" t="str">
        <f>'PK AN-Brutto'!X50</f>
        <v/>
      </c>
      <c r="E47" s="164"/>
      <c r="F47" s="164"/>
      <c r="G47" s="164"/>
      <c r="H47" s="164"/>
      <c r="I47" s="164"/>
      <c r="J47" s="164"/>
      <c r="K47" s="164"/>
      <c r="L47" s="194" t="str">
        <f>IF(D47="","",IF(M47="nur eine Option zur Altersversorg. möglich","FEHLER",SUM(D47,E47,F47,H47,J47,K47)))</f>
        <v/>
      </c>
      <c r="M47" s="228" t="str">
        <f>IF(COUNT(H47,I47,K47)&gt;1,"nur eine Option zur Altersversorg. möglich","")</f>
        <v/>
      </c>
      <c r="N47" s="108"/>
      <c r="O47" s="108"/>
    </row>
    <row r="48" spans="1:15">
      <c r="A48" s="63"/>
      <c r="B48" s="63"/>
      <c r="C48" s="63"/>
      <c r="D48" s="63"/>
      <c r="E48" s="63"/>
      <c r="F48" s="63"/>
      <c r="G48" s="63"/>
      <c r="H48" s="63"/>
      <c r="I48" s="63"/>
      <c r="J48" s="63"/>
      <c r="K48" s="63"/>
      <c r="L48" s="63"/>
      <c r="M48" s="63"/>
      <c r="N48" s="108"/>
      <c r="O48" s="108"/>
    </row>
    <row r="49" spans="6:13">
      <c r="F49" s="74"/>
      <c r="G49" s="74"/>
      <c r="H49" s="74"/>
      <c r="I49" s="74"/>
      <c r="J49" s="74"/>
      <c r="K49" s="74"/>
      <c r="L49" s="74"/>
      <c r="M49" s="74"/>
    </row>
  </sheetData>
  <sheetProtection algorithmName="SHA-512" hashValue="2C4Dh/+KAA/SbBGMgCtR83O+qLdhkzR7ilmsAyFdB67ZBcQBha5Lpr9URd89dMm5dQE/ut5zE04yzJTrxkybAA==" saltValue="N3U2vjIXi3RjUSA2pBVr3Q==" spinCount="100000" sheet="1" objects="1" scenarios="1"/>
  <mergeCells count="5">
    <mergeCell ref="D2:D3"/>
    <mergeCell ref="C2:C3"/>
    <mergeCell ref="L2:L3"/>
    <mergeCell ref="G2:H2"/>
    <mergeCell ref="I2:K2"/>
  </mergeCells>
  <pageMargins left="0.70866141732283472" right="0.70866141732283472" top="0.74803149606299213" bottom="0.74803149606299213" header="0.31496062992125984" footer="0.31496062992125984"/>
  <pageSetup paperSize="9" scale="85" fitToHeight="0" orientation="landscape" r:id="rId1"/>
  <headerFooter>
    <oddFooter>&amp;LDatum des Ausdrucks
&amp;D&amp;CKalkulationsdatei (Version 2.1) gemäß
Beschluss der Hess. Jugendhilfekommission
vom 20. März 2026&amp;RSeite &amp;P von &amp;N</oddFooter>
  </headerFooter>
  <rowBreaks count="1" manualBreakCount="1">
    <brk id="22" max="16383" man="1"/>
  </rowBreaks>
  <ignoredErrors>
    <ignoredError sqref="A5 A16 A24 A28 A35 A42" numberStoredAsText="1"/>
  </ignoredErrors>
  <legacyDrawing r:id="rId2"/>
  <extLst>
    <ext xmlns:x14="http://schemas.microsoft.com/office/spreadsheetml/2009/9/main" uri="{78C0D931-6437-407d-A8EE-F0AAD7539E65}">
      <x14:conditionalFormattings>
        <x14:conditionalFormatting xmlns:xm="http://schemas.microsoft.com/office/excel/2006/main">
          <x14:cfRule type="expression" priority="3" id="{94985548-F308-4B92-9060-4ADA37792A35}">
            <xm:f>'PK Zusammenfassung'!$D$28&gt;0</xm:f>
            <x14:dxf>
              <font>
                <color theme="0"/>
              </font>
            </x14:dxf>
          </x14:cfRule>
          <xm:sqref>C25:D26 F25:H26 J25:J26 L25:L26</xm:sqref>
        </x14:conditionalFormatting>
        <x14:conditionalFormatting xmlns:xm="http://schemas.microsoft.com/office/excel/2006/main">
          <x14:cfRule type="expression" priority="1" id="{84243E7F-CD4E-4F99-90B8-42785797D9DB}">
            <xm:f>'PK Zusammenfassung'!$D$33&gt;0</xm:f>
            <x14:dxf>
              <font>
                <color theme="0"/>
              </font>
            </x14:dxf>
          </x14:cfRule>
          <xm:sqref>C29:D31 F29:H31 J29:J32 L29:L33 E32 G32:H32 D32:D33</xm:sqref>
        </x14:conditionalFormatting>
        <x14:conditionalFormatting xmlns:xm="http://schemas.microsoft.com/office/excel/2006/main">
          <x14:cfRule type="expression" priority="4" id="{47EF6B51-E9B7-4E41-A134-23609AB727BC}">
            <xm:f>'PK Zusammenfassung'!$D$28&gt;0</xm:f>
            <x14:dxf>
              <font>
                <color theme="8" tint="0.79998168889431442"/>
              </font>
            </x14:dxf>
          </x14:cfRule>
          <xm:sqref>I25 K25:K26</xm:sqref>
        </x14:conditionalFormatting>
        <x14:conditionalFormatting xmlns:xm="http://schemas.microsoft.com/office/excel/2006/main">
          <x14:cfRule type="expression" priority="2" id="{6CEAFDAD-9F4A-4884-9FC5-0BDFAD23D6DD}">
            <xm:f>'PK Zusammenfassung'!$D$33&gt;0</xm:f>
            <x14:dxf>
              <font>
                <color theme="8" tint="0.79998168889431442"/>
              </font>
            </x14:dxf>
          </x14:cfRule>
          <xm:sqref>I29:I32 K29:K32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I37"/>
  <sheetViews>
    <sheetView showGridLines="0" zoomScaleNormal="100" workbookViewId="0">
      <selection activeCell="A10" sqref="A10"/>
    </sheetView>
  </sheetViews>
  <sheetFormatPr baseColWidth="10" defaultColWidth="11.44140625" defaultRowHeight="13.8"/>
  <cols>
    <col min="1" max="1" width="45.6640625" style="126" customWidth="1"/>
    <col min="2" max="2" width="8.33203125" style="126" customWidth="1"/>
    <col min="3" max="3" width="21.109375" style="126" customWidth="1"/>
    <col min="4" max="4" width="18.5546875" style="126" customWidth="1"/>
    <col min="5" max="5" width="11" style="126" customWidth="1"/>
    <col min="6" max="6" width="21.5546875" style="126" customWidth="1"/>
    <col min="7" max="7" width="7.109375" style="126" customWidth="1"/>
    <col min="8" max="8" width="11.44140625" style="126"/>
    <col min="9" max="9" width="13" style="126" bestFit="1" customWidth="1"/>
    <col min="10" max="16384" width="11.44140625" style="126"/>
  </cols>
  <sheetData>
    <row r="1" spans="1:6" ht="17.399999999999999">
      <c r="A1" s="136" t="s">
        <v>183</v>
      </c>
      <c r="E1" s="125"/>
      <c r="F1" s="125"/>
    </row>
    <row r="2" spans="1:6">
      <c r="A2" s="172"/>
      <c r="E2" s="125"/>
      <c r="F2" s="125"/>
    </row>
    <row r="3" spans="1:6">
      <c r="A3" s="125" t="s">
        <v>206</v>
      </c>
      <c r="B3" s="126" t="str">
        <f>IF(Kalkulationsblatt!C8="","",Kalkulationsblatt!C8)</f>
        <v/>
      </c>
      <c r="E3" s="125"/>
      <c r="F3" s="125"/>
    </row>
    <row r="4" spans="1:6">
      <c r="A4" s="152" t="s">
        <v>169</v>
      </c>
      <c r="B4" s="126" t="str">
        <f>IF(Kalkulationsblatt!C3="","",Kalkulationsblatt!C3)</f>
        <v/>
      </c>
      <c r="C4" s="152"/>
      <c r="D4" s="152"/>
      <c r="E4" s="24"/>
      <c r="F4" s="24"/>
    </row>
    <row r="5" spans="1:6" s="24" customFormat="1">
      <c r="A5" s="152" t="s">
        <v>117</v>
      </c>
      <c r="B5" s="126" t="str">
        <f>IF(Kalkulationsblatt!E16="","",Kalkulationsblatt!E16)</f>
        <v/>
      </c>
      <c r="C5" s="152"/>
      <c r="D5" s="152"/>
    </row>
    <row r="6" spans="1:6" s="24" customFormat="1" ht="14.4" thickBot="1">
      <c r="A6" s="153"/>
      <c r="B6" s="154"/>
      <c r="C6" s="153"/>
      <c r="D6" s="153"/>
      <c r="E6" s="154"/>
      <c r="F6" s="154"/>
    </row>
    <row r="7" spans="1:6" ht="15" customHeight="1">
      <c r="A7" s="424" t="s">
        <v>170</v>
      </c>
      <c r="B7" s="427" t="s">
        <v>171</v>
      </c>
      <c r="C7" s="430" t="s">
        <v>172</v>
      </c>
      <c r="D7" s="430" t="s">
        <v>246</v>
      </c>
      <c r="E7" s="427" t="s">
        <v>173</v>
      </c>
      <c r="F7" s="417" t="s">
        <v>181</v>
      </c>
    </row>
    <row r="8" spans="1:6" ht="15" customHeight="1">
      <c r="A8" s="425"/>
      <c r="B8" s="428"/>
      <c r="C8" s="431"/>
      <c r="D8" s="431"/>
      <c r="E8" s="428"/>
      <c r="F8" s="418"/>
    </row>
    <row r="9" spans="1:6" ht="15.75" customHeight="1" thickBot="1">
      <c r="A9" s="426"/>
      <c r="B9" s="429"/>
      <c r="C9" s="432"/>
      <c r="D9" s="432"/>
      <c r="E9" s="429"/>
      <c r="F9" s="419"/>
    </row>
    <row r="10" spans="1:6" ht="20.100000000000001" customHeight="1">
      <c r="A10" s="289"/>
      <c r="B10" s="290"/>
      <c r="C10" s="291"/>
      <c r="D10" s="173" t="str">
        <f t="shared" ref="D10:D24" si="0">IF(B10&gt;0,(C10*B10),"")</f>
        <v/>
      </c>
      <c r="E10" s="300"/>
      <c r="F10" s="174" t="str">
        <f t="shared" ref="F10:F16" si="1">IF(E10="","",D10/E10)</f>
        <v/>
      </c>
    </row>
    <row r="11" spans="1:6" ht="20.100000000000001" customHeight="1">
      <c r="A11" s="292"/>
      <c r="B11" s="293"/>
      <c r="C11" s="294"/>
      <c r="D11" s="173" t="str">
        <f t="shared" si="0"/>
        <v/>
      </c>
      <c r="E11" s="297"/>
      <c r="F11" s="174" t="str">
        <f t="shared" si="1"/>
        <v/>
      </c>
    </row>
    <row r="12" spans="1:6" ht="20.100000000000001" customHeight="1">
      <c r="A12" s="292"/>
      <c r="B12" s="293"/>
      <c r="C12" s="294"/>
      <c r="D12" s="173" t="str">
        <f t="shared" si="0"/>
        <v/>
      </c>
      <c r="E12" s="297"/>
      <c r="F12" s="174" t="str">
        <f t="shared" si="1"/>
        <v/>
      </c>
    </row>
    <row r="13" spans="1:6" ht="20.100000000000001" customHeight="1">
      <c r="A13" s="292"/>
      <c r="B13" s="293"/>
      <c r="C13" s="294"/>
      <c r="D13" s="173" t="str">
        <f t="shared" si="0"/>
        <v/>
      </c>
      <c r="E13" s="297"/>
      <c r="F13" s="174" t="str">
        <f t="shared" si="1"/>
        <v/>
      </c>
    </row>
    <row r="14" spans="1:6" ht="20.100000000000001" customHeight="1">
      <c r="A14" s="292"/>
      <c r="B14" s="293"/>
      <c r="C14" s="294"/>
      <c r="D14" s="173" t="str">
        <f t="shared" si="0"/>
        <v/>
      </c>
      <c r="E14" s="297"/>
      <c r="F14" s="174" t="str">
        <f t="shared" si="1"/>
        <v/>
      </c>
    </row>
    <row r="15" spans="1:6" ht="20.100000000000001" customHeight="1">
      <c r="A15" s="292"/>
      <c r="B15" s="293"/>
      <c r="C15" s="294"/>
      <c r="D15" s="173" t="str">
        <f t="shared" si="0"/>
        <v/>
      </c>
      <c r="E15" s="298"/>
      <c r="F15" s="174" t="str">
        <f t="shared" si="1"/>
        <v/>
      </c>
    </row>
    <row r="16" spans="1:6" ht="20.100000000000001" customHeight="1">
      <c r="A16" s="292"/>
      <c r="B16" s="293"/>
      <c r="C16" s="294"/>
      <c r="D16" s="173" t="str">
        <f t="shared" si="0"/>
        <v/>
      </c>
      <c r="E16" s="298"/>
      <c r="F16" s="174" t="str">
        <f t="shared" si="1"/>
        <v/>
      </c>
    </row>
    <row r="17" spans="1:9" ht="20.100000000000001" customHeight="1">
      <c r="A17" s="292"/>
      <c r="B17" s="293"/>
      <c r="C17" s="294"/>
      <c r="D17" s="173" t="str">
        <f t="shared" si="0"/>
        <v/>
      </c>
      <c r="E17" s="298"/>
      <c r="F17" s="174" t="str">
        <f>IF(E17="","",D17/E17)</f>
        <v/>
      </c>
    </row>
    <row r="18" spans="1:9" ht="20.100000000000001" customHeight="1">
      <c r="A18" s="292"/>
      <c r="B18" s="293"/>
      <c r="C18" s="294"/>
      <c r="D18" s="173" t="str">
        <f t="shared" si="0"/>
        <v/>
      </c>
      <c r="E18" s="298"/>
      <c r="F18" s="174" t="str">
        <f t="shared" ref="F18:F24" si="2">IF(E18="","",D18/E18)</f>
        <v/>
      </c>
    </row>
    <row r="19" spans="1:9" ht="20.100000000000001" customHeight="1">
      <c r="A19" s="292"/>
      <c r="B19" s="293"/>
      <c r="C19" s="294"/>
      <c r="D19" s="173" t="str">
        <f t="shared" si="0"/>
        <v/>
      </c>
      <c r="E19" s="297"/>
      <c r="F19" s="174" t="str">
        <f t="shared" si="2"/>
        <v/>
      </c>
    </row>
    <row r="20" spans="1:9" ht="20.100000000000001" customHeight="1">
      <c r="A20" s="292"/>
      <c r="B20" s="293"/>
      <c r="C20" s="294"/>
      <c r="D20" s="173" t="str">
        <f t="shared" si="0"/>
        <v/>
      </c>
      <c r="E20" s="297"/>
      <c r="F20" s="174" t="str">
        <f t="shared" si="2"/>
        <v/>
      </c>
    </row>
    <row r="21" spans="1:9" ht="20.100000000000001" customHeight="1">
      <c r="A21" s="292"/>
      <c r="B21" s="293"/>
      <c r="C21" s="294"/>
      <c r="D21" s="173" t="str">
        <f t="shared" si="0"/>
        <v/>
      </c>
      <c r="E21" s="297"/>
      <c r="F21" s="174" t="str">
        <f t="shared" si="2"/>
        <v/>
      </c>
    </row>
    <row r="22" spans="1:9" ht="20.100000000000001" customHeight="1">
      <c r="A22" s="292"/>
      <c r="B22" s="293"/>
      <c r="C22" s="294"/>
      <c r="D22" s="173" t="str">
        <f t="shared" si="0"/>
        <v/>
      </c>
      <c r="E22" s="297"/>
      <c r="F22" s="174" t="str">
        <f t="shared" si="2"/>
        <v/>
      </c>
    </row>
    <row r="23" spans="1:9" ht="20.100000000000001" customHeight="1">
      <c r="A23" s="292"/>
      <c r="B23" s="293"/>
      <c r="C23" s="295"/>
      <c r="D23" s="173" t="str">
        <f t="shared" si="0"/>
        <v/>
      </c>
      <c r="E23" s="297"/>
      <c r="F23" s="174" t="str">
        <f t="shared" si="2"/>
        <v/>
      </c>
    </row>
    <row r="24" spans="1:9" ht="20.100000000000001" customHeight="1">
      <c r="A24" s="292"/>
      <c r="B24" s="296"/>
      <c r="C24" s="294"/>
      <c r="D24" s="173" t="str">
        <f t="shared" si="0"/>
        <v/>
      </c>
      <c r="E24" s="297"/>
      <c r="F24" s="174" t="str">
        <f t="shared" si="2"/>
        <v/>
      </c>
    </row>
    <row r="25" spans="1:9" ht="20.100000000000001" customHeight="1">
      <c r="A25" s="130" t="s">
        <v>174</v>
      </c>
      <c r="B25" s="420"/>
      <c r="C25" s="421"/>
      <c r="D25" s="129">
        <f>SUM(D10:D24)</f>
        <v>0</v>
      </c>
      <c r="E25" s="127"/>
      <c r="F25" s="131">
        <f>SUM(F10:F24)</f>
        <v>0</v>
      </c>
      <c r="I25" s="155"/>
    </row>
    <row r="26" spans="1:9" ht="20.100000000000001" customHeight="1" thickBot="1">
      <c r="A26" s="130" t="s">
        <v>175</v>
      </c>
      <c r="B26" s="420"/>
      <c r="C26" s="421"/>
      <c r="D26" s="294"/>
      <c r="E26" s="128"/>
      <c r="F26" s="299"/>
      <c r="I26" s="155"/>
    </row>
    <row r="27" spans="1:9" ht="20.100000000000001" customHeight="1" thickBot="1">
      <c r="A27" s="132" t="s">
        <v>9</v>
      </c>
      <c r="B27" s="422"/>
      <c r="C27" s="423"/>
      <c r="D27" s="133">
        <f>D25+D26</f>
        <v>0</v>
      </c>
      <c r="E27" s="134"/>
      <c r="F27" s="135">
        <f>F25+F26</f>
        <v>0</v>
      </c>
      <c r="I27" s="155"/>
    </row>
    <row r="30" spans="1:9">
      <c r="A30" s="125"/>
    </row>
    <row r="31" spans="1:9">
      <c r="C31" s="155"/>
      <c r="D31" s="155"/>
      <c r="E31" s="156"/>
      <c r="F31" s="155"/>
    </row>
    <row r="32" spans="1:9">
      <c r="C32" s="155"/>
      <c r="D32" s="155"/>
      <c r="E32" s="156"/>
      <c r="F32" s="155"/>
    </row>
    <row r="33" spans="1:6">
      <c r="A33" s="125"/>
      <c r="B33" s="125"/>
      <c r="C33" s="157"/>
      <c r="D33" s="157"/>
      <c r="E33" s="158"/>
      <c r="F33" s="157"/>
    </row>
    <row r="34" spans="1:6">
      <c r="B34" s="159"/>
      <c r="C34" s="155"/>
      <c r="D34" s="155"/>
      <c r="F34" s="155"/>
    </row>
    <row r="35" spans="1:6">
      <c r="A35" s="125"/>
      <c r="C35" s="155"/>
      <c r="F35" s="155"/>
    </row>
    <row r="37" spans="1:6">
      <c r="C37" s="155"/>
    </row>
  </sheetData>
  <sheetProtection algorithmName="SHA-512" hashValue="HE+HusVeVV6ptspKez30lfkvuqZtw3s+Ki13Mz00DaP7kJCDhN1WztspCDWUtMTY0yf80E86xM172z0ta/4VaQ==" saltValue="7k3fctHkA0qXsRlsdiBqcQ==" spinCount="100000" sheet="1" objects="1" scenarios="1"/>
  <mergeCells count="9">
    <mergeCell ref="F7:F9"/>
    <mergeCell ref="B25:C25"/>
    <mergeCell ref="B26:C26"/>
    <mergeCell ref="B27:C27"/>
    <mergeCell ref="A7:A9"/>
    <mergeCell ref="B7:B9"/>
    <mergeCell ref="C7:C9"/>
    <mergeCell ref="D7:D9"/>
    <mergeCell ref="E7:E9"/>
  </mergeCells>
  <printOptions horizontalCentered="1"/>
  <pageMargins left="0.70866141732283472" right="0.70866141732283472" top="0.74803149606299213" bottom="0.94488188976377963" header="0.31496062992125984" footer="0.31496062992125984"/>
  <pageSetup paperSize="9" scale="94" orientation="landscape" r:id="rId1"/>
  <headerFooter>
    <oddFooter>&amp;LDatum des Ausdrucks
&amp;D&amp;CKalkulationsdatei (Version 2.1) gemäß
Beschluss der Hess. Jugendhilfekommission
vom 20. März 2026&amp;RSeite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Kalkulationsblatt</vt:lpstr>
      <vt:lpstr>PK Zusammenfassung</vt:lpstr>
      <vt:lpstr>PK AN-Brutto</vt:lpstr>
      <vt:lpstr>PK Zeitzuschläge</vt:lpstr>
      <vt:lpstr>PK AG_Brutto</vt:lpstr>
      <vt:lpstr>Anlagenverzeichnis</vt:lpstr>
      <vt:lpstr>Kalkulationsblatt!Druckbereich</vt:lpstr>
      <vt:lpstr>'PK AG_Brutto'!Druckbereich</vt:lpstr>
      <vt:lpstr>'PK AN-Brutto'!Druckbereich</vt:lpstr>
      <vt:lpstr>'PK Zeitzuschläge'!Druckbereich</vt:lpstr>
      <vt:lpstr>'PK Zusammenfassung'!Druckbereich</vt:lpstr>
      <vt:lpstr>'PK AG_Brutto'!Drucktitel</vt:lpstr>
      <vt:lpstr>'PK AN-Brutto'!Drucktitel</vt:lpstr>
      <vt:lpstr>'PK Zusammenfassung'!Drucktitel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Gerland;Hissnauer@bpa.de</dc:creator>
  <cp:lastModifiedBy>Hißnauer, Stefan (bpa)</cp:lastModifiedBy>
  <cp:lastPrinted>2019-04-01T15:34:41Z</cp:lastPrinted>
  <dcterms:created xsi:type="dcterms:W3CDTF">2015-08-23T16:55:37Z</dcterms:created>
  <dcterms:modified xsi:type="dcterms:W3CDTF">2026-03-20T11:09:34Z</dcterms:modified>
</cp:coreProperties>
</file>